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11792\Desktop\作業フォルダー\200609\5予算執行等に関する情報開示\"/>
    </mc:Choice>
  </mc:AlternateContent>
  <bookViews>
    <workbookView xWindow="-110" yWindow="-110" windowWidth="23250" windowHeight="12570" activeTab="1"/>
  </bookViews>
  <sheets>
    <sheet name="表紙" sheetId="11" r:id="rId1"/>
    <sheet name="公表版" sheetId="10" r:id="rId2"/>
  </sheets>
  <definedNames>
    <definedName name="_xlnm.Print_Area" localSheetId="1">公表版!$A$1:$M$74</definedName>
    <definedName name="_xlnm.Print_Area" localSheetId="0">表紙!$A$1:$H$20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1" i="10" l="1"/>
  <c r="K52" i="10"/>
  <c r="K51" i="10"/>
  <c r="K50" i="10"/>
  <c r="K49" i="10"/>
  <c r="K48" i="10"/>
  <c r="K47" i="10"/>
  <c r="K46" i="10"/>
  <c r="K45" i="10"/>
  <c r="K44" i="10"/>
  <c r="K74" i="10"/>
  <c r="K73" i="10"/>
  <c r="K72" i="10"/>
  <c r="K71" i="10"/>
  <c r="K70" i="10"/>
  <c r="K69" i="10"/>
  <c r="K68" i="10"/>
  <c r="K67" i="10"/>
  <c r="K66" i="10"/>
  <c r="K59" i="10"/>
  <c r="K30" i="10"/>
  <c r="K32" i="10"/>
  <c r="K33" i="10"/>
  <c r="K34" i="10"/>
  <c r="K35" i="10"/>
  <c r="K36" i="10"/>
  <c r="K37" i="10"/>
  <c r="K23" i="10"/>
  <c r="K22" i="10"/>
  <c r="K21" i="10"/>
  <c r="K20" i="10"/>
  <c r="K19" i="10"/>
  <c r="K18" i="10"/>
  <c r="K17" i="10"/>
  <c r="K16" i="10"/>
  <c r="K15" i="10"/>
  <c r="K14" i="10"/>
  <c r="K13" i="10"/>
  <c r="K12" i="10"/>
  <c r="K11" i="10"/>
  <c r="K10" i="10"/>
  <c r="K9" i="10"/>
  <c r="K8" i="10"/>
  <c r="K7" i="10"/>
  <c r="H74" i="10" l="1"/>
  <c r="G74" i="10"/>
  <c r="F74" i="10"/>
  <c r="E74" i="10"/>
  <c r="H73" i="10"/>
  <c r="G73" i="10"/>
  <c r="F73" i="10"/>
  <c r="E73" i="10"/>
  <c r="H72" i="10"/>
  <c r="G72" i="10"/>
  <c r="F72" i="10"/>
  <c r="E72" i="10"/>
  <c r="H71" i="10"/>
  <c r="G71" i="10"/>
  <c r="F71" i="10"/>
  <c r="E71" i="10"/>
  <c r="H70" i="10"/>
  <c r="G70" i="10"/>
  <c r="F70" i="10"/>
  <c r="E70" i="10"/>
  <c r="H69" i="10"/>
  <c r="G69" i="10"/>
  <c r="F69" i="10"/>
  <c r="E69" i="10"/>
  <c r="H68" i="10"/>
  <c r="G68" i="10"/>
  <c r="F68" i="10"/>
  <c r="E68" i="10"/>
  <c r="H67" i="10"/>
  <c r="G67" i="10"/>
  <c r="F67" i="10"/>
  <c r="E67" i="10"/>
  <c r="H66" i="10"/>
  <c r="G66" i="10"/>
  <c r="F66" i="10"/>
  <c r="E66" i="10"/>
  <c r="H51" i="10"/>
  <c r="G51" i="10"/>
  <c r="F51" i="10"/>
  <c r="E51" i="10"/>
  <c r="H50" i="10"/>
  <c r="G50" i="10"/>
  <c r="F50" i="10"/>
  <c r="E50" i="10"/>
  <c r="H49" i="10"/>
  <c r="G49" i="10"/>
  <c r="F49" i="10"/>
  <c r="E49" i="10"/>
  <c r="H47" i="10"/>
  <c r="G47" i="10"/>
  <c r="F47" i="10"/>
  <c r="E47" i="10"/>
  <c r="H46" i="10"/>
  <c r="G46" i="10"/>
  <c r="F46" i="10"/>
  <c r="E46" i="10"/>
  <c r="H45" i="10"/>
  <c r="G45" i="10"/>
  <c r="F45" i="10"/>
  <c r="E45" i="10"/>
  <c r="H44" i="10"/>
  <c r="G44" i="10"/>
  <c r="F44" i="10"/>
  <c r="E44" i="10"/>
  <c r="H59" i="10"/>
  <c r="G59" i="10"/>
  <c r="F59" i="10"/>
  <c r="E59" i="10"/>
  <c r="H37" i="10"/>
  <c r="G37" i="10"/>
  <c r="F37" i="10"/>
  <c r="E37" i="10"/>
  <c r="H36" i="10"/>
  <c r="G36" i="10"/>
  <c r="F36" i="10"/>
  <c r="E36" i="10"/>
  <c r="H35" i="10"/>
  <c r="G35" i="10"/>
  <c r="F35" i="10"/>
  <c r="E35" i="10"/>
  <c r="H34" i="10"/>
  <c r="G34" i="10"/>
  <c r="F34" i="10"/>
  <c r="E34" i="10"/>
  <c r="H33" i="10"/>
  <c r="G33" i="10"/>
  <c r="F33" i="10"/>
  <c r="E33" i="10"/>
  <c r="H32" i="10"/>
  <c r="G32" i="10"/>
  <c r="F32" i="10"/>
  <c r="E32" i="10"/>
  <c r="H31" i="10"/>
  <c r="G31" i="10"/>
  <c r="F31" i="10"/>
  <c r="E31" i="10"/>
  <c r="H30" i="10"/>
  <c r="G30" i="10"/>
  <c r="F30" i="10"/>
  <c r="E30" i="10"/>
  <c r="H23" i="10"/>
  <c r="G23" i="10"/>
  <c r="F23" i="10"/>
  <c r="E23" i="10"/>
  <c r="H22" i="10"/>
  <c r="E22" i="10"/>
  <c r="H21" i="10"/>
  <c r="G21" i="10"/>
  <c r="F21" i="10"/>
  <c r="E21" i="10"/>
  <c r="H20" i="10"/>
  <c r="G20" i="10"/>
  <c r="F20" i="10"/>
  <c r="E20" i="10"/>
  <c r="H19" i="10"/>
  <c r="G19" i="10"/>
  <c r="F19" i="10"/>
  <c r="E19" i="10"/>
  <c r="H18" i="10"/>
  <c r="G18" i="10"/>
  <c r="F18" i="10"/>
  <c r="E18" i="10"/>
  <c r="H17" i="10"/>
  <c r="G17" i="10"/>
  <c r="F17" i="10"/>
  <c r="E17" i="10"/>
  <c r="H15" i="10"/>
  <c r="G15" i="10"/>
  <c r="F15" i="10"/>
  <c r="E15" i="10"/>
  <c r="H16" i="10"/>
  <c r="G16" i="10"/>
  <c r="F16" i="10"/>
  <c r="E16" i="10"/>
  <c r="H14" i="10"/>
  <c r="G14" i="10"/>
  <c r="F14" i="10"/>
  <c r="E14" i="10"/>
  <c r="H13" i="10"/>
  <c r="G13" i="10"/>
  <c r="F13" i="10"/>
  <c r="E13" i="10"/>
  <c r="H12" i="10"/>
  <c r="G12" i="10"/>
  <c r="F12" i="10"/>
  <c r="E12" i="10"/>
  <c r="H11" i="10"/>
  <c r="G11" i="10"/>
  <c r="F11" i="10"/>
  <c r="E11" i="10"/>
  <c r="J10" i="10"/>
  <c r="H10" i="10"/>
  <c r="G10" i="10"/>
  <c r="F10" i="10"/>
  <c r="E10" i="10"/>
  <c r="H9" i="10"/>
  <c r="G9" i="10"/>
  <c r="F9" i="10"/>
  <c r="E9" i="10"/>
  <c r="H8" i="10"/>
  <c r="G8" i="10"/>
  <c r="F8" i="10"/>
  <c r="E8" i="10"/>
  <c r="H7" i="10"/>
  <c r="G7" i="10"/>
  <c r="F7" i="10"/>
  <c r="E7" i="10"/>
  <c r="I16" i="10" l="1"/>
  <c r="I9" i="10"/>
  <c r="I8" i="10"/>
  <c r="I7" i="10"/>
  <c r="J52" i="10" l="1"/>
  <c r="J48" i="10"/>
  <c r="F52" i="10" l="1"/>
  <c r="F48" i="10"/>
  <c r="F22" i="10"/>
  <c r="E52" i="10" l="1"/>
  <c r="E48" i="10"/>
  <c r="H52" i="10" l="1"/>
  <c r="G52" i="10"/>
  <c r="H48" i="10"/>
  <c r="G48" i="10"/>
  <c r="I23" i="10"/>
  <c r="I19" i="10"/>
  <c r="I15" i="10"/>
  <c r="I11" i="10"/>
  <c r="G22" i="10"/>
  <c r="I22" i="10" s="1"/>
  <c r="I21" i="10"/>
  <c r="I20" i="10"/>
  <c r="I18" i="10"/>
  <c r="I17" i="10"/>
  <c r="I14" i="10"/>
  <c r="I13" i="10"/>
  <c r="I12" i="10"/>
  <c r="I10" i="10"/>
  <c r="I74" i="10" l="1"/>
  <c r="I73" i="10"/>
  <c r="I72" i="10"/>
  <c r="I71" i="10"/>
  <c r="I70" i="10"/>
  <c r="I69" i="10"/>
  <c r="I68" i="10"/>
  <c r="I67" i="10"/>
  <c r="I66" i="10"/>
  <c r="I59" i="10"/>
  <c r="I52" i="10"/>
  <c r="I51" i="10"/>
  <c r="I50" i="10"/>
  <c r="I49" i="10"/>
  <c r="I48" i="10"/>
  <c r="I47" i="10"/>
  <c r="I46" i="10"/>
  <c r="I45" i="10"/>
  <c r="J45" i="10" s="1"/>
  <c r="I44" i="10"/>
  <c r="I37" i="10"/>
  <c r="J37" i="10" s="1"/>
  <c r="I36" i="10"/>
  <c r="J36" i="10" s="1"/>
  <c r="I35" i="10"/>
  <c r="J35" i="10" s="1"/>
  <c r="I34" i="10"/>
  <c r="J34" i="10" s="1"/>
  <c r="I33" i="10"/>
  <c r="J33" i="10" s="1"/>
  <c r="I32" i="10"/>
  <c r="J32" i="10" s="1"/>
  <c r="I31" i="10"/>
  <c r="J31" i="10" s="1"/>
  <c r="I30" i="10"/>
  <c r="J30" i="10" s="1"/>
  <c r="J51" i="10" l="1"/>
  <c r="J7" i="10" l="1"/>
  <c r="J74" i="10" l="1"/>
  <c r="J73" i="10"/>
  <c r="J72" i="10"/>
  <c r="J71" i="10"/>
  <c r="J70" i="10"/>
  <c r="J69" i="10"/>
  <c r="J68" i="10"/>
  <c r="J67" i="10"/>
  <c r="J66" i="10"/>
  <c r="J59" i="10"/>
  <c r="J50" i="10" l="1"/>
  <c r="J49" i="10"/>
  <c r="J47" i="10"/>
  <c r="J46" i="10"/>
  <c r="J44" i="10"/>
  <c r="J23" i="10"/>
  <c r="J22" i="10"/>
  <c r="J21" i="10"/>
  <c r="J20" i="10"/>
  <c r="J19" i="10"/>
  <c r="J18" i="10"/>
  <c r="J17" i="10"/>
  <c r="J16" i="10"/>
  <c r="J15" i="10"/>
  <c r="J14" i="10"/>
  <c r="J13" i="10"/>
  <c r="J12" i="10"/>
  <c r="J11" i="10"/>
  <c r="J9" i="10"/>
  <c r="J8" i="10"/>
</calcChain>
</file>

<file path=xl/sharedStrings.xml><?xml version="1.0" encoding="utf-8"?>
<sst xmlns="http://schemas.openxmlformats.org/spreadsheetml/2006/main" count="186" uniqueCount="56">
  <si>
    <t>（組織）</t>
    <rPh sb="1" eb="3">
      <t>ソシキ</t>
    </rPh>
    <phoneticPr fontId="2"/>
  </si>
  <si>
    <t>（項）</t>
    <rPh sb="1" eb="2">
      <t>コウ</t>
    </rPh>
    <phoneticPr fontId="2"/>
  </si>
  <si>
    <t>（目）</t>
    <rPh sb="1" eb="2">
      <t>メ</t>
    </rPh>
    <phoneticPr fontId="2"/>
  </si>
  <si>
    <t>（単位：千円）</t>
    <rPh sb="1" eb="3">
      <t>タンイ</t>
    </rPh>
    <rPh sb="4" eb="6">
      <t>センエン</t>
    </rPh>
    <phoneticPr fontId="1"/>
  </si>
  <si>
    <t>　　情報処理業務庁費・政府開発援助情報処理業務庁費</t>
    <rPh sb="2" eb="4">
      <t>ジョウホウ</t>
    </rPh>
    <rPh sb="4" eb="6">
      <t>ショリ</t>
    </rPh>
    <rPh sb="6" eb="8">
      <t>ギョウム</t>
    </rPh>
    <rPh sb="8" eb="10">
      <t>チョウヒ</t>
    </rPh>
    <rPh sb="11" eb="13">
      <t>セイフ</t>
    </rPh>
    <rPh sb="13" eb="15">
      <t>カイハツ</t>
    </rPh>
    <rPh sb="15" eb="17">
      <t>エンジョ</t>
    </rPh>
    <rPh sb="17" eb="19">
      <t>ジョウホウ</t>
    </rPh>
    <rPh sb="19" eb="21">
      <t>ショリ</t>
    </rPh>
    <rPh sb="21" eb="23">
      <t>ギョウム</t>
    </rPh>
    <rPh sb="23" eb="25">
      <t>チョウヒ</t>
    </rPh>
    <phoneticPr fontId="2"/>
  </si>
  <si>
    <t>　　在外公館連絡庁費・政府開発援助在外公館連絡庁費</t>
    <rPh sb="2" eb="4">
      <t>ザイガイ</t>
    </rPh>
    <rPh sb="4" eb="6">
      <t>コウカン</t>
    </rPh>
    <rPh sb="6" eb="8">
      <t>レンラク</t>
    </rPh>
    <rPh sb="8" eb="10">
      <t>チョウヒ</t>
    </rPh>
    <rPh sb="11" eb="13">
      <t>セイフ</t>
    </rPh>
    <rPh sb="13" eb="15">
      <t>カイハツ</t>
    </rPh>
    <rPh sb="15" eb="17">
      <t>エンジョ</t>
    </rPh>
    <rPh sb="17" eb="19">
      <t>ザイガイ</t>
    </rPh>
    <rPh sb="19" eb="21">
      <t>コウカン</t>
    </rPh>
    <rPh sb="21" eb="23">
      <t>レンラク</t>
    </rPh>
    <rPh sb="23" eb="25">
      <t>チョウヒ</t>
    </rPh>
    <phoneticPr fontId="2"/>
  </si>
  <si>
    <t>　　渡航事務庁費</t>
    <rPh sb="2" eb="4">
      <t>トコウ</t>
    </rPh>
    <rPh sb="4" eb="6">
      <t>ジム</t>
    </rPh>
    <rPh sb="6" eb="8">
      <t>チョウヒ</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</si>
  <si>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</si>
  <si>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</si>
  <si>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</si>
  <si>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</si>
  <si>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外務本省</t>
    <rPh sb="0" eb="2">
      <t>ガイム</t>
    </rPh>
    <rPh sb="2" eb="4">
      <t>ホンショウ</t>
    </rPh>
    <phoneticPr fontId="1"/>
  </si>
  <si>
    <t>在外公館</t>
    <rPh sb="0" eb="2">
      <t>ザイガイ</t>
    </rPh>
    <rPh sb="2" eb="4">
      <t>コウカン</t>
    </rPh>
    <phoneticPr fontId="1"/>
  </si>
  <si>
    <t>外務本省共通費</t>
    <rPh sb="0" eb="2">
      <t>ガイム</t>
    </rPh>
    <rPh sb="2" eb="4">
      <t>ホンショウ</t>
    </rPh>
    <rPh sb="4" eb="6">
      <t>キョウツウ</t>
    </rPh>
    <rPh sb="6" eb="7">
      <t>ヒ</t>
    </rPh>
    <phoneticPr fontId="1"/>
  </si>
  <si>
    <t>地域別外交費</t>
    <rPh sb="0" eb="2">
      <t>チイキ</t>
    </rPh>
    <rPh sb="2" eb="3">
      <t>ベツ</t>
    </rPh>
    <rPh sb="3" eb="5">
      <t>ガイコウ</t>
    </rPh>
    <rPh sb="5" eb="6">
      <t>ヒ</t>
    </rPh>
    <phoneticPr fontId="1"/>
  </si>
  <si>
    <t>分野別外交費</t>
    <rPh sb="0" eb="3">
      <t>ブンヤベツ</t>
    </rPh>
    <rPh sb="3" eb="5">
      <t>ガイコウ</t>
    </rPh>
    <rPh sb="5" eb="6">
      <t>ヒ</t>
    </rPh>
    <phoneticPr fontId="1"/>
  </si>
  <si>
    <t>広報文化交流及報道対策費</t>
    <rPh sb="0" eb="2">
      <t>コウホウ</t>
    </rPh>
    <rPh sb="2" eb="4">
      <t>ブンカ</t>
    </rPh>
    <rPh sb="4" eb="6">
      <t>コウリュウ</t>
    </rPh>
    <rPh sb="6" eb="7">
      <t>オヨ</t>
    </rPh>
    <rPh sb="7" eb="9">
      <t>ホウドウ</t>
    </rPh>
    <rPh sb="9" eb="11">
      <t>タイサク</t>
    </rPh>
    <rPh sb="11" eb="12">
      <t>ヒ</t>
    </rPh>
    <phoneticPr fontId="1"/>
  </si>
  <si>
    <t>領事政策費</t>
    <rPh sb="0" eb="2">
      <t>リョウジ</t>
    </rPh>
    <rPh sb="2" eb="5">
      <t>セイサクヒ</t>
    </rPh>
    <phoneticPr fontId="1"/>
  </si>
  <si>
    <t>経済協力費</t>
    <rPh sb="0" eb="2">
      <t>ケイザイ</t>
    </rPh>
    <rPh sb="2" eb="4">
      <t>キョウリョク</t>
    </rPh>
    <rPh sb="4" eb="5">
      <t>ヒ</t>
    </rPh>
    <phoneticPr fontId="1"/>
  </si>
  <si>
    <t>庁費</t>
    <rPh sb="0" eb="2">
      <t>チョウヒ</t>
    </rPh>
    <phoneticPr fontId="1"/>
  </si>
  <si>
    <t>政府開発援助庁費</t>
    <rPh sb="0" eb="2">
      <t>セイフ</t>
    </rPh>
    <rPh sb="2" eb="4">
      <t>カイハツ</t>
    </rPh>
    <rPh sb="4" eb="6">
      <t>エンジョ</t>
    </rPh>
    <rPh sb="6" eb="8">
      <t>チョウヒ</t>
    </rPh>
    <phoneticPr fontId="1"/>
  </si>
  <si>
    <t>在外公館共通費</t>
    <rPh sb="0" eb="2">
      <t>ザイガイ</t>
    </rPh>
    <rPh sb="2" eb="4">
      <t>コウカン</t>
    </rPh>
    <rPh sb="4" eb="6">
      <t>キョウツウ</t>
    </rPh>
    <rPh sb="6" eb="7">
      <t>ヒ</t>
    </rPh>
    <phoneticPr fontId="1"/>
  </si>
  <si>
    <t>地域別外交費</t>
    <rPh sb="0" eb="3">
      <t>チイキベツ</t>
    </rPh>
    <rPh sb="3" eb="5">
      <t>ガイコウ</t>
    </rPh>
    <rPh sb="5" eb="6">
      <t>ヒ</t>
    </rPh>
    <phoneticPr fontId="1"/>
  </si>
  <si>
    <t>広報文化交流及報道対策費</t>
    <rPh sb="0" eb="2">
      <t>コウホウ</t>
    </rPh>
    <rPh sb="2" eb="4">
      <t>ブンカ</t>
    </rPh>
    <rPh sb="4" eb="6">
      <t>コウリュウ</t>
    </rPh>
    <rPh sb="6" eb="7">
      <t>オヨ</t>
    </rPh>
    <rPh sb="7" eb="9">
      <t>ホウドウ</t>
    </rPh>
    <rPh sb="9" eb="12">
      <t>タイサクヒ</t>
    </rPh>
    <phoneticPr fontId="1"/>
  </si>
  <si>
    <t>情報処理業務庁費</t>
    <rPh sb="0" eb="2">
      <t>ジョウホウ</t>
    </rPh>
    <rPh sb="2" eb="4">
      <t>ショリ</t>
    </rPh>
    <rPh sb="4" eb="6">
      <t>ギョウム</t>
    </rPh>
    <rPh sb="6" eb="8">
      <t>チョウヒ</t>
    </rPh>
    <phoneticPr fontId="1"/>
  </si>
  <si>
    <t>政府開発援助情報処理業務庁費</t>
    <rPh sb="0" eb="2">
      <t>セイフ</t>
    </rPh>
    <rPh sb="2" eb="4">
      <t>カイハツ</t>
    </rPh>
    <rPh sb="4" eb="6">
      <t>エンジョ</t>
    </rPh>
    <rPh sb="6" eb="8">
      <t>ジョウホウ</t>
    </rPh>
    <rPh sb="8" eb="10">
      <t>ショリ</t>
    </rPh>
    <rPh sb="10" eb="12">
      <t>ギョウム</t>
    </rPh>
    <rPh sb="12" eb="14">
      <t>チョウヒ</t>
    </rPh>
    <phoneticPr fontId="1"/>
  </si>
  <si>
    <t>広報文化交流及報道対策費</t>
    <rPh sb="0" eb="4">
      <t>コウホウブンカ</t>
    </rPh>
    <rPh sb="4" eb="6">
      <t>コウリュウ</t>
    </rPh>
    <rPh sb="6" eb="7">
      <t>オヨ</t>
    </rPh>
    <rPh sb="7" eb="9">
      <t>ホウドウ</t>
    </rPh>
    <rPh sb="9" eb="12">
      <t>タイサクヒ</t>
    </rPh>
    <phoneticPr fontId="1"/>
  </si>
  <si>
    <t>在外公館連絡庁費</t>
    <rPh sb="0" eb="2">
      <t>ザイガイ</t>
    </rPh>
    <rPh sb="2" eb="4">
      <t>コウカン</t>
    </rPh>
    <rPh sb="4" eb="6">
      <t>レンラク</t>
    </rPh>
    <rPh sb="6" eb="8">
      <t>チョウヒ</t>
    </rPh>
    <phoneticPr fontId="1"/>
  </si>
  <si>
    <t>政府開発援助在外公館連絡庁費</t>
    <rPh sb="0" eb="2">
      <t>セイフ</t>
    </rPh>
    <rPh sb="2" eb="4">
      <t>カイハツ</t>
    </rPh>
    <rPh sb="4" eb="6">
      <t>エンジョ</t>
    </rPh>
    <rPh sb="6" eb="8">
      <t>ザイガイ</t>
    </rPh>
    <rPh sb="8" eb="10">
      <t>コウカン</t>
    </rPh>
    <rPh sb="10" eb="12">
      <t>レンラク</t>
    </rPh>
    <rPh sb="12" eb="14">
      <t>チョウヒ</t>
    </rPh>
    <phoneticPr fontId="1"/>
  </si>
  <si>
    <t>渡航事務庁費</t>
    <rPh sb="0" eb="2">
      <t>トコウ</t>
    </rPh>
    <rPh sb="2" eb="4">
      <t>ジム</t>
    </rPh>
    <rPh sb="4" eb="6">
      <t>チョウヒ</t>
    </rPh>
    <phoneticPr fontId="1"/>
  </si>
  <si>
    <t>経済協力費</t>
    <rPh sb="0" eb="2">
      <t>ケイザイ</t>
    </rPh>
    <rPh sb="2" eb="5">
      <t>キョウリョクヒ</t>
    </rPh>
    <phoneticPr fontId="1"/>
  </si>
  <si>
    <t>職員旅費</t>
    <rPh sb="0" eb="2">
      <t>ショクイン</t>
    </rPh>
    <rPh sb="2" eb="4">
      <t>リョヒ</t>
    </rPh>
    <phoneticPr fontId="1"/>
  </si>
  <si>
    <t>政府開発援助職員旅費</t>
    <rPh sb="0" eb="2">
      <t>セイフ</t>
    </rPh>
    <rPh sb="2" eb="4">
      <t>カイハツ</t>
    </rPh>
    <rPh sb="4" eb="6">
      <t>エンジョ</t>
    </rPh>
    <rPh sb="6" eb="8">
      <t>ショクイン</t>
    </rPh>
    <rPh sb="8" eb="10">
      <t>リョヒ</t>
    </rPh>
    <phoneticPr fontId="1"/>
  </si>
  <si>
    <t>　　対象項目</t>
    <rPh sb="2" eb="4">
      <t>タイショウ</t>
    </rPh>
    <rPh sb="4" eb="6">
      <t>コウモク</t>
    </rPh>
    <phoneticPr fontId="1"/>
  </si>
  <si>
    <t>　　（１）庁費、情報処理業務庁費、在外公館連絡庁費、渡航事務庁費</t>
    <rPh sb="5" eb="7">
      <t>チョウヒ</t>
    </rPh>
    <rPh sb="8" eb="10">
      <t>ジョウホウ</t>
    </rPh>
    <rPh sb="10" eb="12">
      <t>ショリ</t>
    </rPh>
    <rPh sb="12" eb="14">
      <t>ギョウム</t>
    </rPh>
    <rPh sb="14" eb="16">
      <t>チョウヒ</t>
    </rPh>
    <rPh sb="17" eb="19">
      <t>ザイガイ</t>
    </rPh>
    <rPh sb="19" eb="21">
      <t>コウカン</t>
    </rPh>
    <rPh sb="21" eb="23">
      <t>レンラク</t>
    </rPh>
    <rPh sb="23" eb="25">
      <t>チョウヒ</t>
    </rPh>
    <rPh sb="26" eb="28">
      <t>トコウ</t>
    </rPh>
    <rPh sb="28" eb="30">
      <t>ジム</t>
    </rPh>
    <rPh sb="30" eb="32">
      <t>チョウヒ</t>
    </rPh>
    <phoneticPr fontId="1"/>
  </si>
  <si>
    <t>　　（２）職員旅費</t>
    <rPh sb="5" eb="7">
      <t>ショクイン</t>
    </rPh>
    <rPh sb="7" eb="9">
      <t>リョヒ</t>
    </rPh>
    <phoneticPr fontId="1"/>
  </si>
  <si>
    <t>（１）庁費・政府開発援助庁費</t>
    <rPh sb="3" eb="5">
      <t>チョウヒ</t>
    </rPh>
    <rPh sb="6" eb="8">
      <t>セイフ</t>
    </rPh>
    <rPh sb="8" eb="10">
      <t>カイハツ</t>
    </rPh>
    <rPh sb="10" eb="12">
      <t>エンジョ</t>
    </rPh>
    <rPh sb="12" eb="14">
      <t>チョウヒ</t>
    </rPh>
    <phoneticPr fontId="2"/>
  </si>
  <si>
    <t>（２）職員旅費</t>
    <rPh sb="3" eb="5">
      <t>ショクイン</t>
    </rPh>
    <rPh sb="5" eb="7">
      <t>リョヒ</t>
    </rPh>
    <phoneticPr fontId="2"/>
  </si>
  <si>
    <t>支出済歳出額</t>
    <rPh sb="0" eb="2">
      <t>シシュツ</t>
    </rPh>
    <rPh sb="2" eb="3">
      <t>ス</t>
    </rPh>
    <rPh sb="3" eb="5">
      <t>サイシュツ</t>
    </rPh>
    <rPh sb="5" eb="6">
      <t>ガク</t>
    </rPh>
    <phoneticPr fontId="1"/>
  </si>
  <si>
    <t>合計</t>
    <rPh sb="0" eb="2">
      <t>ゴウケイ</t>
    </rPh>
    <phoneticPr fontId="1"/>
  </si>
  <si>
    <t>支出済歳出額の第４四半期の割合</t>
    <rPh sb="0" eb="2">
      <t>シシュツ</t>
    </rPh>
    <rPh sb="2" eb="3">
      <t>ス</t>
    </rPh>
    <rPh sb="3" eb="6">
      <t>サイシュツガク</t>
    </rPh>
    <rPh sb="7" eb="8">
      <t>ダイ</t>
    </rPh>
    <rPh sb="9" eb="12">
      <t>シハンキ</t>
    </rPh>
    <rPh sb="13" eb="15">
      <t>ワリアイ</t>
    </rPh>
    <phoneticPr fontId="1"/>
  </si>
  <si>
    <t>第４四半期の支出済歳出額</t>
    <rPh sb="0" eb="1">
      <t>ダイ</t>
    </rPh>
    <rPh sb="2" eb="5">
      <t>シハンキ</t>
    </rPh>
    <rPh sb="6" eb="8">
      <t>シシュツ</t>
    </rPh>
    <rPh sb="8" eb="9">
      <t>ズ</t>
    </rPh>
    <rPh sb="9" eb="12">
      <t>サイシュツガク</t>
    </rPh>
    <phoneticPr fontId="1"/>
  </si>
  <si>
    <t xml:space="preserve">　　　 </t>
    <phoneticPr fontId="2"/>
  </si>
  <si>
    <t>　　一般会計</t>
    <rPh sb="2" eb="4">
      <t>イッパン</t>
    </rPh>
    <rPh sb="4" eb="6">
      <t>カイケイ</t>
    </rPh>
    <phoneticPr fontId="1"/>
  </si>
  <si>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1"/>
  </si>
  <si>
    <t>　　　　　　※各四半期の支出済歳出額については、千円未満切り捨てにて記載。</t>
    <rPh sb="7" eb="8">
      <t>カク</t>
    </rPh>
    <rPh sb="8" eb="11">
      <t>シハンキ</t>
    </rPh>
    <rPh sb="12" eb="14">
      <t>シシュツ</t>
    </rPh>
    <rPh sb="14" eb="15">
      <t>ス</t>
    </rPh>
    <rPh sb="15" eb="17">
      <t>サイシュツ</t>
    </rPh>
    <rPh sb="17" eb="18">
      <t>ガク</t>
    </rPh>
    <rPh sb="24" eb="26">
      <t>センエン</t>
    </rPh>
    <rPh sb="26" eb="28">
      <t>ミマン</t>
    </rPh>
    <rPh sb="28" eb="29">
      <t>キ</t>
    </rPh>
    <rPh sb="30" eb="31">
      <t>ス</t>
    </rPh>
    <rPh sb="34" eb="36">
      <t>キサイ</t>
    </rPh>
    <phoneticPr fontId="1"/>
  </si>
  <si>
    <t>令和元年度
予算額</t>
    <rPh sb="0" eb="2">
      <t>レイワ</t>
    </rPh>
    <rPh sb="2" eb="4">
      <t>ガンネン</t>
    </rPh>
    <rPh sb="4" eb="5">
      <t>ド</t>
    </rPh>
    <rPh sb="5" eb="7">
      <t>ヘイネンド</t>
    </rPh>
    <rPh sb="6" eb="9">
      <t>ヨサンガク</t>
    </rPh>
    <phoneticPr fontId="2"/>
  </si>
  <si>
    <t>令和元年度
予算額</t>
    <rPh sb="0" eb="2">
      <t>レイワ</t>
    </rPh>
    <rPh sb="2" eb="4">
      <t>ガンネン</t>
    </rPh>
    <rPh sb="4" eb="5">
      <t>ド</t>
    </rPh>
    <rPh sb="6" eb="9">
      <t>ヨサンガク</t>
    </rPh>
    <phoneticPr fontId="2"/>
  </si>
  <si>
    <t>平成３０年度</t>
    <rPh sb="0" eb="2">
      <t>ヘイセイ</t>
    </rPh>
    <rPh sb="4" eb="6">
      <t>ネンド</t>
    </rPh>
    <phoneticPr fontId="1"/>
  </si>
  <si>
    <t>前年度には発生しなかった経費が発生したため</t>
    <rPh sb="0" eb="3">
      <t>ゼンネンド</t>
    </rPh>
    <rPh sb="5" eb="7">
      <t>ハッセイ</t>
    </rPh>
    <rPh sb="12" eb="14">
      <t>ケイヒ</t>
    </rPh>
    <rPh sb="15" eb="17">
      <t>ハッセイ</t>
    </rPh>
    <phoneticPr fontId="1"/>
  </si>
  <si>
    <t>前年度に発生しなかった経費が発生したため</t>
    <rPh sb="0" eb="3">
      <t>ゼンネンド</t>
    </rPh>
    <rPh sb="4" eb="6">
      <t>ハッセイ</t>
    </rPh>
    <rPh sb="11" eb="13">
      <t>ケイヒ</t>
    </rPh>
    <rPh sb="14" eb="16">
      <t>ハッセイ</t>
    </rPh>
    <phoneticPr fontId="1"/>
  </si>
  <si>
    <t>前年度は第3四半期に開催された会議が第4四半期の開催となったため</t>
    <rPh sb="0" eb="3">
      <t>ゼンネンド</t>
    </rPh>
    <rPh sb="4" eb="5">
      <t>ダイ</t>
    </rPh>
    <rPh sb="6" eb="9">
      <t>シハンキ</t>
    </rPh>
    <rPh sb="10" eb="12">
      <t>カイサイ</t>
    </rPh>
    <rPh sb="15" eb="17">
      <t>カイギ</t>
    </rPh>
    <rPh sb="18" eb="19">
      <t>ダイ</t>
    </rPh>
    <rPh sb="20" eb="23">
      <t>シハンキ</t>
    </rPh>
    <rPh sb="24" eb="26">
      <t>カイサイ</t>
    </rPh>
    <phoneticPr fontId="1"/>
  </si>
  <si>
    <t>第４四半期に出張者用のWi-Fiレンタル等の経費が増加したため</t>
    <rPh sb="0" eb="1">
      <t>ダイ</t>
    </rPh>
    <rPh sb="2" eb="5">
      <t>シハンキ</t>
    </rPh>
    <rPh sb="6" eb="9">
      <t>シュッチョウシャ</t>
    </rPh>
    <rPh sb="9" eb="10">
      <t>ヨウ</t>
    </rPh>
    <rPh sb="20" eb="21">
      <t>トウ</t>
    </rPh>
    <rPh sb="22" eb="24">
      <t>ケイヒ</t>
    </rPh>
    <rPh sb="25" eb="27">
      <t>ゾウカ</t>
    </rPh>
    <phoneticPr fontId="1"/>
  </si>
  <si>
    <t>R元年度に開設した在外公館分回線料が発生したため。</t>
    <phoneticPr fontId="1"/>
  </si>
  <si>
    <t>新型コロナウイルス対応によるテレワーク推進にかかる経費が発生したため。</t>
    <phoneticPr fontId="1"/>
  </si>
  <si>
    <t>令和元年度　外務省　支出状況</t>
    <rPh sb="0" eb="2">
      <t>レイワ</t>
    </rPh>
    <rPh sb="2" eb="4">
      <t>ガンネン</t>
    </rPh>
    <rPh sb="4" eb="5">
      <t>ド</t>
    </rPh>
    <rPh sb="5" eb="7">
      <t>ヘイネンド</t>
    </rPh>
    <rPh sb="6" eb="9">
      <t>ガイムショウ</t>
    </rPh>
    <rPh sb="10" eb="12">
      <t>シシュツ</t>
    </rPh>
    <rPh sb="12" eb="1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</si>
</sst>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_);[Red]\(#,##0\)"/>
  </numFmts>
  <fonts count="1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scheme val="minor"/>
    </font>
    <font>
      <sz val="11"/>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12"/>
      <name val="ＭＳ Ｐゴシック"/>
      <family val="3"/>
      <charset val="128"/>
    </font>
    <font>
      <sz val="11"/>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sz val="18"/>
      <name val="ＭＳ Ｐゴシック"/>
      <family val="2"/>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right/>
      <top/>
      <bottom style="thin">
        <color indexed="64"/>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77">
    <xf numFmtId="0" fontId="0" fillId="0" borderId="0" xfId="0">
      <alignment vertical="center"/>
    </xf>
    <xf numFmtId="0" fontId="0" fillId="0" borderId="0" xfId="0" applyFill="1">
      <alignment vertical="center"/>
    </xf>
    <xf numFmtId="0" fontId="0" fillId="0" borderId="13" xfId="0" applyBorder="1">
      <alignment vertical="center"/>
    </xf>
    <xf numFmtId="0" fontId="0" fillId="0" borderId="0" xfId="0" applyBorder="1">
      <alignment vertical="center"/>
    </xf>
    <xf numFmtId="0" fontId="0" fillId="0" borderId="14" xfId="0" applyBorder="1">
      <alignment vertical="center"/>
    </xf>
    <xf numFmtId="0" fontId="7" fillId="0" borderId="13" xfId="0" applyFont="1" applyBorder="1">
      <alignment vertical="center"/>
    </xf>
    <xf numFmtId="0" fontId="0" fillId="0" borderId="6" xfId="0" applyBorder="1">
      <alignment vertical="center"/>
    </xf>
    <xf numFmtId="0" fontId="0" fillId="0" borderId="5" xfId="0" applyBorder="1">
      <alignment vertical="center"/>
    </xf>
    <xf numFmtId="0" fontId="0" fillId="0" borderId="8" xfId="0" applyBorder="1">
      <alignment vertical="center"/>
    </xf>
    <xf numFmtId="0" fontId="8" fillId="0" borderId="0" xfId="0" applyFont="1" applyBorder="1">
      <alignment vertical="center"/>
    </xf>
    <xf numFmtId="0" fontId="7" fillId="0" borderId="13" xfId="0" applyFont="1" applyFill="1" applyBorder="1">
      <alignment vertical="center"/>
    </xf>
    <xf numFmtId="0" fontId="0" fillId="0" borderId="0" xfId="0" applyFill="1" applyBorder="1">
      <alignment vertical="center"/>
    </xf>
    <xf numFmtId="0" fontId="0" fillId="0" borderId="14" xfId="0" applyFill="1" applyBorder="1">
      <alignment vertical="center"/>
    </xf>
    <xf numFmtId="177" fontId="9" fillId="2" borderId="2" xfId="0" applyNumberFormat="1" applyFont="1" applyFill="1" applyBorder="1">
      <alignment vertical="center"/>
    </xf>
    <xf numFmtId="177" fontId="9" fillId="2" borderId="9" xfId="0" applyNumberFormat="1" applyFont="1" applyFill="1" applyBorder="1">
      <alignment vertical="center"/>
    </xf>
    <xf numFmtId="0" fontId="11" fillId="2" borderId="9" xfId="1" applyFont="1" applyFill="1" applyBorder="1" applyAlignment="1">
      <alignment vertical="center" wrapText="1"/>
    </xf>
    <xf numFmtId="0" fontId="11" fillId="2" borderId="0" xfId="1" applyFont="1" applyFill="1">
      <alignment vertical="center"/>
    </xf>
    <xf numFmtId="0" fontId="11" fillId="2" borderId="0" xfId="1" applyFont="1" applyFill="1" applyBorder="1" applyAlignment="1">
      <alignment vertical="center"/>
    </xf>
    <xf numFmtId="176" fontId="11" fillId="2" borderId="0" xfId="0" applyNumberFormat="1" applyFont="1" applyFill="1">
      <alignment vertical="center"/>
    </xf>
    <xf numFmtId="0" fontId="13" fillId="2" borderId="0" xfId="0" applyFont="1" applyFill="1">
      <alignment vertical="center"/>
    </xf>
    <xf numFmtId="0" fontId="12" fillId="2" borderId="0" xfId="0" applyFont="1" applyFill="1">
      <alignment vertical="center"/>
    </xf>
    <xf numFmtId="0" fontId="12" fillId="2" borderId="0" xfId="1" applyFont="1" applyFill="1">
      <alignment vertical="center"/>
    </xf>
    <xf numFmtId="178" fontId="11" fillId="2" borderId="0" xfId="0" applyNumberFormat="1" applyFont="1" applyFill="1">
      <alignment vertical="center"/>
    </xf>
    <xf numFmtId="176" fontId="11" fillId="2" borderId="0" xfId="0" applyNumberFormat="1" applyFont="1" applyFill="1" applyBorder="1">
      <alignment vertical="center"/>
    </xf>
    <xf numFmtId="0" fontId="11" fillId="2" borderId="0" xfId="0" applyFont="1" applyFill="1" applyBorder="1">
      <alignment vertical="center"/>
    </xf>
    <xf numFmtId="0" fontId="11" fillId="2" borderId="0" xfId="0" applyFont="1" applyFill="1" applyBorder="1" applyAlignment="1">
      <alignment horizontal="right" vertical="center"/>
    </xf>
    <xf numFmtId="178" fontId="14" fillId="2" borderId="10" xfId="0" applyNumberFormat="1" applyFont="1" applyFill="1" applyBorder="1">
      <alignment vertical="center"/>
    </xf>
    <xf numFmtId="178" fontId="14" fillId="2" borderId="9" xfId="0" applyNumberFormat="1" applyFont="1" applyFill="1" applyBorder="1">
      <alignment vertical="center"/>
    </xf>
    <xf numFmtId="10" fontId="14" fillId="2" borderId="9" xfId="0" applyNumberFormat="1" applyFont="1" applyFill="1" applyBorder="1">
      <alignment vertical="center"/>
    </xf>
    <xf numFmtId="10" fontId="11" fillId="2" borderId="9" xfId="3" applyNumberFormat="1" applyFont="1" applyFill="1" applyBorder="1" applyAlignment="1">
      <alignment vertical="center" wrapText="1"/>
    </xf>
    <xf numFmtId="10" fontId="11" fillId="2" borderId="9" xfId="3" applyNumberFormat="1" applyFont="1" applyFill="1" applyBorder="1">
      <alignment vertical="center"/>
    </xf>
    <xf numFmtId="10" fontId="11" fillId="2" borderId="9" xfId="0" applyNumberFormat="1" applyFont="1" applyFill="1" applyBorder="1">
      <alignment vertical="center"/>
    </xf>
    <xf numFmtId="10" fontId="11" fillId="2" borderId="9" xfId="0" applyNumberFormat="1" applyFont="1" applyFill="1" applyBorder="1" applyAlignment="1">
      <alignment vertical="center" wrapText="1"/>
    </xf>
    <xf numFmtId="10" fontId="11" fillId="2" borderId="15" xfId="3" applyNumberFormat="1" applyFont="1" applyFill="1" applyBorder="1">
      <alignment vertical="center"/>
    </xf>
    <xf numFmtId="0" fontId="11" fillId="2" borderId="0" xfId="0" applyFont="1" applyFill="1" applyAlignment="1">
      <alignment horizontal="right" vertical="center"/>
    </xf>
    <xf numFmtId="38" fontId="14" fillId="2" borderId="10" xfId="3" applyFont="1" applyFill="1" applyBorder="1" applyAlignment="1">
      <alignment vertical="center"/>
    </xf>
    <xf numFmtId="10" fontId="11" fillId="2" borderId="2" xfId="3" applyNumberFormat="1" applyFont="1" applyFill="1" applyBorder="1">
      <alignment vertical="center"/>
    </xf>
    <xf numFmtId="38" fontId="14" fillId="2" borderId="9" xfId="3" applyFont="1" applyFill="1" applyBorder="1" applyAlignment="1">
      <alignment vertical="center"/>
    </xf>
    <xf numFmtId="177" fontId="11" fillId="2" borderId="9" xfId="0" applyNumberFormat="1" applyFont="1" applyFill="1" applyBorder="1">
      <alignment vertical="center"/>
    </xf>
    <xf numFmtId="10" fontId="11" fillId="2" borderId="9" xfId="4" applyNumberFormat="1" applyFont="1" applyFill="1" applyBorder="1">
      <alignment vertical="center"/>
    </xf>
    <xf numFmtId="0" fontId="11" fillId="2" borderId="9" xfId="1" applyFont="1" applyFill="1" applyBorder="1" applyAlignment="1">
      <alignment horizontal="center" vertical="center" wrapText="1"/>
    </xf>
    <xf numFmtId="0" fontId="11" fillId="2" borderId="9" xfId="1" applyFont="1" applyFill="1" applyBorder="1" applyAlignment="1">
      <alignment vertical="center" wrapText="1"/>
    </xf>
    <xf numFmtId="0" fontId="11" fillId="2" borderId="10" xfId="1" applyFont="1" applyFill="1" applyBorder="1" applyAlignment="1">
      <alignment vertical="center" wrapText="1"/>
    </xf>
    <xf numFmtId="0" fontId="11" fillId="2" borderId="4" xfId="1" applyFont="1" applyFill="1" applyBorder="1" applyAlignment="1">
      <alignment vertical="center" wrapText="1"/>
    </xf>
    <xf numFmtId="0" fontId="11" fillId="2" borderId="10" xfId="1" applyFont="1" applyFill="1" applyBorder="1" applyAlignment="1">
      <alignment vertical="center" wrapText="1"/>
    </xf>
    <xf numFmtId="0" fontId="5" fillId="0" borderId="12"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176" fontId="11" fillId="2" borderId="16" xfId="0" applyNumberFormat="1" applyFont="1" applyFill="1" applyBorder="1" applyAlignment="1">
      <alignment horizontal="center" vertical="center"/>
    </xf>
    <xf numFmtId="0" fontId="11" fillId="2" borderId="18" xfId="0" applyFont="1" applyFill="1" applyBorder="1" applyAlignment="1">
      <alignment vertical="center"/>
    </xf>
    <xf numFmtId="0" fontId="11" fillId="2" borderId="9" xfId="0" applyFont="1" applyFill="1" applyBorder="1" applyAlignment="1">
      <alignment vertical="center" wrapText="1"/>
    </xf>
    <xf numFmtId="176" fontId="11" fillId="2" borderId="4" xfId="1" applyNumberFormat="1" applyFont="1" applyFill="1" applyBorder="1" applyAlignment="1">
      <alignment horizontal="center" vertical="center" wrapText="1"/>
    </xf>
    <xf numFmtId="0" fontId="11" fillId="2" borderId="2" xfId="0" applyFont="1" applyFill="1" applyBorder="1" applyAlignment="1">
      <alignment horizontal="center" vertical="center"/>
    </xf>
    <xf numFmtId="176" fontId="11" fillId="2" borderId="10" xfId="1" applyNumberFormat="1" applyFont="1" applyFill="1" applyBorder="1" applyAlignment="1">
      <alignment horizontal="left" vertical="center" wrapText="1"/>
    </xf>
    <xf numFmtId="0" fontId="11" fillId="2" borderId="2" xfId="0" applyFont="1" applyFill="1" applyBorder="1" applyAlignment="1">
      <alignment horizontal="left" vertical="center"/>
    </xf>
    <xf numFmtId="176" fontId="11" fillId="2" borderId="4" xfId="1" applyNumberFormat="1" applyFont="1" applyFill="1" applyBorder="1" applyAlignment="1">
      <alignment horizontal="left" vertical="center" wrapText="1"/>
    </xf>
    <xf numFmtId="0" fontId="11" fillId="2" borderId="2" xfId="0" applyFont="1" applyFill="1" applyBorder="1" applyAlignment="1">
      <alignment horizontal="left" vertical="center" wrapText="1"/>
    </xf>
    <xf numFmtId="176" fontId="11" fillId="2" borderId="17" xfId="0" applyNumberFormat="1"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176" fontId="11" fillId="2" borderId="2" xfId="1" applyNumberFormat="1" applyFont="1" applyFill="1" applyBorder="1" applyAlignment="1">
      <alignment horizontal="center" vertical="center"/>
    </xf>
    <xf numFmtId="176" fontId="11" fillId="2" borderId="14" xfId="1" applyNumberFormat="1" applyFont="1" applyFill="1" applyBorder="1" applyAlignment="1">
      <alignment horizontal="center" vertical="center" wrapText="1"/>
    </xf>
    <xf numFmtId="176" fontId="11" fillId="2" borderId="8" xfId="1" applyNumberFormat="1" applyFont="1" applyFill="1" applyBorder="1" applyAlignment="1">
      <alignment horizontal="center" vertical="center"/>
    </xf>
    <xf numFmtId="0" fontId="11"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9" xfId="1" applyFont="1" applyFill="1" applyBorder="1" applyAlignment="1">
      <alignment horizontal="center" vertical="center" wrapText="1"/>
    </xf>
    <xf numFmtId="0" fontId="11" fillId="2" borderId="9" xfId="1" applyFont="1" applyFill="1" applyBorder="1" applyAlignment="1">
      <alignment vertical="center" wrapText="1"/>
    </xf>
    <xf numFmtId="0" fontId="11" fillId="2" borderId="10"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3" fillId="2" borderId="5" xfId="1" applyFont="1" applyFill="1" applyBorder="1" applyAlignment="1">
      <alignment vertical="center" shrinkToFit="1"/>
    </xf>
    <xf numFmtId="0" fontId="11" fillId="2" borderId="10" xfId="1" applyFont="1" applyFill="1" applyBorder="1" applyAlignment="1">
      <alignment vertical="center" wrapText="1"/>
    </xf>
    <xf numFmtId="0" fontId="11" fillId="2" borderId="4" xfId="1" applyFont="1" applyFill="1" applyBorder="1" applyAlignment="1">
      <alignment vertical="center" wrapText="1"/>
    </xf>
    <xf numFmtId="0" fontId="11" fillId="2" borderId="2" xfId="1" applyFont="1" applyFill="1" applyBorder="1" applyAlignment="1">
      <alignment horizontal="center" vertical="center" wrapText="1"/>
    </xf>
  </cellXfs>
  <cellStyles count="5">
    <cellStyle name="パーセント" xfId="4" builtinId="5"/>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70" zoomScaleNormal="70" workbookViewId="0">
      <selection activeCell="A15" sqref="A15"/>
    </sheetView>
  </sheetViews>
  <sheetFormatPr defaultRowHeight="13"/>
  <cols>
    <col min="1" max="1" width="21.36328125" bestFit="1" customWidth="1"/>
    <col min="2" max="2" width="31.453125" customWidth="1"/>
    <col min="3" max="3" width="21.36328125" customWidth="1"/>
    <col min="4" max="4" width="17.6328125" customWidth="1"/>
    <col min="5" max="8" width="17.26953125" customWidth="1"/>
  </cols>
  <sheetData>
    <row r="1" spans="1:8" ht="36" customHeight="1">
      <c r="A1" s="45" t="s">
        <v>55</v>
      </c>
      <c r="B1" s="46"/>
      <c r="C1" s="46"/>
      <c r="D1" s="46"/>
      <c r="E1" s="46"/>
      <c r="F1" s="46"/>
      <c r="G1" s="46"/>
      <c r="H1" s="47"/>
    </row>
    <row r="2" spans="1:8">
      <c r="A2" s="48"/>
      <c r="B2" s="49"/>
      <c r="C2" s="49"/>
      <c r="D2" s="49"/>
      <c r="E2" s="49"/>
      <c r="F2" s="49"/>
      <c r="G2" s="49"/>
      <c r="H2" s="50"/>
    </row>
    <row r="3" spans="1:8">
      <c r="A3" s="48"/>
      <c r="B3" s="49"/>
      <c r="C3" s="49"/>
      <c r="D3" s="49"/>
      <c r="E3" s="49"/>
      <c r="F3" s="49"/>
      <c r="G3" s="49"/>
      <c r="H3" s="50"/>
    </row>
    <row r="4" spans="1:8" ht="61.5" customHeight="1">
      <c r="A4" s="5" t="s">
        <v>33</v>
      </c>
      <c r="B4" s="3"/>
      <c r="C4" s="3"/>
      <c r="D4" s="3"/>
      <c r="E4" s="3"/>
      <c r="F4" s="3"/>
      <c r="G4" s="3"/>
      <c r="H4" s="4"/>
    </row>
    <row r="5" spans="1:8" ht="49.5" customHeight="1">
      <c r="A5" s="5" t="s">
        <v>43</v>
      </c>
      <c r="B5" s="3"/>
      <c r="C5" s="3"/>
      <c r="D5" s="3"/>
      <c r="E5" s="3"/>
      <c r="F5" s="3"/>
      <c r="G5" s="3"/>
      <c r="H5" s="4"/>
    </row>
    <row r="6" spans="1:8" ht="40.5" customHeight="1">
      <c r="A6" s="5" t="s">
        <v>34</v>
      </c>
      <c r="B6" s="3"/>
      <c r="C6" s="3"/>
      <c r="D6" s="3"/>
      <c r="E6" s="3"/>
      <c r="F6" s="3"/>
      <c r="G6" s="3"/>
      <c r="H6" s="4"/>
    </row>
    <row r="7" spans="1:8" ht="40.5" customHeight="1">
      <c r="A7" s="5" t="s">
        <v>35</v>
      </c>
      <c r="B7" s="3"/>
      <c r="C7" s="3"/>
      <c r="D7" s="3"/>
      <c r="E7" s="3"/>
      <c r="F7" s="3"/>
      <c r="G7" s="3"/>
      <c r="H7" s="4"/>
    </row>
    <row r="8" spans="1:8" ht="40.5" customHeight="1">
      <c r="A8" s="10"/>
      <c r="B8" s="11"/>
      <c r="C8" s="11"/>
      <c r="D8" s="11"/>
      <c r="E8" s="11"/>
      <c r="F8" s="11"/>
      <c r="G8" s="11"/>
      <c r="H8" s="12"/>
    </row>
    <row r="9" spans="1:8" s="1" customFormat="1" ht="49.5" customHeight="1">
      <c r="A9" s="10"/>
      <c r="B9" s="11"/>
      <c r="C9" s="11"/>
      <c r="D9" s="11"/>
      <c r="E9" s="11"/>
      <c r="F9" s="11"/>
      <c r="G9" s="11"/>
      <c r="H9" s="12"/>
    </row>
    <row r="10" spans="1:8" s="1" customFormat="1" ht="40.5" customHeight="1">
      <c r="A10" s="10"/>
      <c r="B10" s="11"/>
      <c r="C10" s="11"/>
      <c r="D10" s="11"/>
      <c r="E10" s="11"/>
      <c r="F10" s="11"/>
      <c r="G10" s="11"/>
      <c r="H10" s="12"/>
    </row>
    <row r="11" spans="1:8" s="1" customFormat="1" ht="40.5" customHeight="1">
      <c r="A11" s="10"/>
      <c r="B11" s="11"/>
      <c r="C11" s="11"/>
      <c r="D11" s="11"/>
      <c r="E11" s="11"/>
      <c r="F11" s="11"/>
      <c r="G11" s="11"/>
      <c r="H11" s="12"/>
    </row>
    <row r="12" spans="1:8" s="1" customFormat="1" ht="40.5" customHeight="1">
      <c r="A12" s="10"/>
      <c r="B12" s="11"/>
      <c r="C12" s="11"/>
      <c r="D12" s="11"/>
      <c r="E12" s="11"/>
      <c r="F12" s="11"/>
      <c r="G12" s="11"/>
      <c r="H12" s="12"/>
    </row>
    <row r="13" spans="1:8" ht="40.5" customHeight="1">
      <c r="A13" s="5"/>
      <c r="B13" s="3"/>
      <c r="C13" s="3"/>
      <c r="D13" s="3"/>
      <c r="E13" s="3"/>
      <c r="F13" s="3"/>
      <c r="G13" s="3"/>
      <c r="H13" s="4"/>
    </row>
    <row r="14" spans="1:8" ht="40.5" customHeight="1">
      <c r="A14" s="5"/>
      <c r="B14" s="3"/>
      <c r="C14" s="3"/>
      <c r="D14" s="3"/>
      <c r="E14" s="3"/>
      <c r="F14" s="3"/>
      <c r="G14" s="3"/>
      <c r="H14" s="4"/>
    </row>
    <row r="15" spans="1:8" ht="40.5" customHeight="1">
      <c r="A15" s="5"/>
      <c r="B15" s="3"/>
      <c r="C15" s="3"/>
      <c r="D15" s="3"/>
      <c r="E15" s="3"/>
      <c r="F15" s="3"/>
      <c r="G15" s="3"/>
      <c r="H15" s="4"/>
    </row>
    <row r="16" spans="1:8">
      <c r="A16" s="2"/>
      <c r="B16" s="3"/>
      <c r="C16" s="3"/>
      <c r="D16" s="3"/>
      <c r="E16" s="3"/>
      <c r="F16" s="3"/>
      <c r="G16" s="3"/>
      <c r="H16" s="4"/>
    </row>
    <row r="17" spans="1:8">
      <c r="A17" s="2"/>
      <c r="B17" s="3"/>
      <c r="C17" s="3"/>
      <c r="D17" s="3"/>
      <c r="E17" s="3"/>
      <c r="F17" s="3"/>
      <c r="G17" s="3"/>
      <c r="H17" s="4"/>
    </row>
    <row r="18" spans="1:8" ht="16.5">
      <c r="A18" s="2"/>
      <c r="B18" s="3"/>
      <c r="C18" s="3"/>
      <c r="D18" s="3"/>
      <c r="E18" s="3"/>
      <c r="F18" s="3"/>
      <c r="G18" s="9"/>
      <c r="H18" s="4"/>
    </row>
    <row r="19" spans="1:8" ht="16.5">
      <c r="A19" s="2"/>
      <c r="B19" s="3"/>
      <c r="C19" s="3"/>
      <c r="D19" s="3"/>
      <c r="E19" s="3"/>
      <c r="F19" s="3"/>
      <c r="G19" s="9"/>
      <c r="H19" s="4"/>
    </row>
    <row r="20" spans="1:8">
      <c r="A20" s="6"/>
      <c r="B20" s="7"/>
      <c r="C20" s="7"/>
      <c r="D20" s="7"/>
      <c r="E20" s="7"/>
      <c r="F20" s="7"/>
      <c r="G20" s="7"/>
      <c r="H20" s="8"/>
    </row>
  </sheetData>
  <mergeCells count="1">
    <mergeCell ref="A1:H3"/>
  </mergeCells>
  <phoneticPr fontId="1"/>
  <pageMargins left="0.91" right="1.07" top="0.9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tabSelected="1" zoomScaleNormal="100" workbookViewId="0"/>
  </sheetViews>
  <sheetFormatPr defaultRowHeight="13"/>
  <cols>
    <col min="1" max="1" width="11.6328125" customWidth="1"/>
    <col min="2" max="2" width="25" customWidth="1"/>
    <col min="3" max="3" width="18.7265625" style="1" customWidth="1"/>
    <col min="4" max="4" width="12.08984375" customWidth="1"/>
    <col min="5" max="5" width="12.08984375" style="1" customWidth="1"/>
    <col min="6" max="9" width="12.08984375" customWidth="1"/>
    <col min="10" max="10" width="11.6328125" customWidth="1"/>
    <col min="11" max="11" width="10.453125" customWidth="1"/>
    <col min="12" max="12" width="10.6328125" customWidth="1"/>
    <col min="13" max="13" width="36" customWidth="1"/>
    <col min="14" max="14" width="9.90625" bestFit="1" customWidth="1"/>
  </cols>
  <sheetData>
    <row r="1" spans="1:13" ht="21">
      <c r="A1" s="19"/>
      <c r="B1" s="20"/>
      <c r="C1" s="20"/>
      <c r="D1" s="20"/>
      <c r="E1" s="20"/>
      <c r="F1" s="20"/>
      <c r="G1" s="20"/>
      <c r="H1" s="21"/>
      <c r="I1" s="21"/>
      <c r="J1" s="21" t="s">
        <v>45</v>
      </c>
      <c r="K1" s="20"/>
      <c r="L1" s="20"/>
      <c r="M1" s="20"/>
    </row>
    <row r="2" spans="1:13" ht="17.25" customHeight="1">
      <c r="A2" s="19"/>
      <c r="B2" s="20"/>
      <c r="C2" s="20"/>
      <c r="D2" s="20"/>
      <c r="E2" s="20"/>
      <c r="F2" s="22"/>
      <c r="G2" s="20"/>
      <c r="H2" s="20"/>
      <c r="I2" s="20"/>
      <c r="J2" s="20"/>
      <c r="K2" s="20"/>
      <c r="L2" s="20"/>
      <c r="M2" s="20"/>
    </row>
    <row r="3" spans="1:13" ht="16.5">
      <c r="A3" s="73" t="s">
        <v>36</v>
      </c>
      <c r="B3" s="73"/>
      <c r="C3" s="73"/>
      <c r="D3" s="16"/>
      <c r="E3" s="23"/>
      <c r="F3" s="23"/>
      <c r="G3" s="23"/>
      <c r="H3" s="20"/>
      <c r="I3" s="24"/>
      <c r="J3" s="20"/>
      <c r="K3" s="20"/>
      <c r="L3" s="20"/>
      <c r="M3" s="25" t="s">
        <v>3</v>
      </c>
    </row>
    <row r="4" spans="1:13" ht="22.5" customHeight="1">
      <c r="A4" s="72" t="s">
        <v>0</v>
      </c>
      <c r="B4" s="72" t="s">
        <v>1</v>
      </c>
      <c r="C4" s="72" t="s">
        <v>2</v>
      </c>
      <c r="D4" s="66" t="s">
        <v>46</v>
      </c>
      <c r="E4" s="51" t="s">
        <v>38</v>
      </c>
      <c r="F4" s="60"/>
      <c r="G4" s="60"/>
      <c r="H4" s="60"/>
      <c r="I4" s="61"/>
      <c r="J4" s="62"/>
      <c r="K4" s="51" t="s">
        <v>48</v>
      </c>
      <c r="L4" s="52"/>
      <c r="M4" s="53" t="s">
        <v>44</v>
      </c>
    </row>
    <row r="5" spans="1:13" ht="13.5" customHeight="1">
      <c r="A5" s="71"/>
      <c r="B5" s="71"/>
      <c r="C5" s="71"/>
      <c r="D5" s="67"/>
      <c r="E5" s="54" t="s">
        <v>7</v>
      </c>
      <c r="F5" s="64" t="s">
        <v>8</v>
      </c>
      <c r="G5" s="54" t="s">
        <v>9</v>
      </c>
      <c r="H5" s="54" t="s">
        <v>10</v>
      </c>
      <c r="I5" s="54" t="s">
        <v>39</v>
      </c>
      <c r="J5" s="56" t="s">
        <v>40</v>
      </c>
      <c r="K5" s="58" t="s">
        <v>41</v>
      </c>
      <c r="L5" s="58" t="s">
        <v>40</v>
      </c>
      <c r="M5" s="53"/>
    </row>
    <row r="6" spans="1:13" ht="27.75" customHeight="1">
      <c r="A6" s="76"/>
      <c r="B6" s="76"/>
      <c r="C6" s="76"/>
      <c r="D6" s="67"/>
      <c r="E6" s="63"/>
      <c r="F6" s="65"/>
      <c r="G6" s="63"/>
      <c r="H6" s="63"/>
      <c r="I6" s="55"/>
      <c r="J6" s="57"/>
      <c r="K6" s="59"/>
      <c r="L6" s="57"/>
      <c r="M6" s="53"/>
    </row>
    <row r="7" spans="1:13" ht="39" customHeight="1">
      <c r="A7" s="70" t="s">
        <v>11</v>
      </c>
      <c r="B7" s="74" t="s">
        <v>13</v>
      </c>
      <c r="C7" s="42" t="s">
        <v>19</v>
      </c>
      <c r="D7" s="13">
        <v>3047013</v>
      </c>
      <c r="E7" s="26">
        <f>ROUNDDOWN(261091156,-3)/1000</f>
        <v>261091</v>
      </c>
      <c r="F7" s="26">
        <f>ROUNDDOWN(574832979,-3)/1000</f>
        <v>574832</v>
      </c>
      <c r="G7" s="26">
        <f>ROUNDDOWN(752028617,-3)/1000</f>
        <v>752028</v>
      </c>
      <c r="H7" s="26">
        <f>ROUNDDOWN(1230301491,-3)/1000</f>
        <v>1230301</v>
      </c>
      <c r="I7" s="27">
        <f t="shared" ref="I7" si="0">SUM(E7:H7)</f>
        <v>2818252</v>
      </c>
      <c r="J7" s="28">
        <f>H7/I7</f>
        <v>0.4365475479126778</v>
      </c>
      <c r="K7" s="26">
        <f>ROUNDDOWN(1013483301,-3)/1000</f>
        <v>1013483</v>
      </c>
      <c r="L7" s="28">
        <v>0.38030000000000003</v>
      </c>
      <c r="M7" s="29" t="s">
        <v>49</v>
      </c>
    </row>
    <row r="8" spans="1:13" ht="39" customHeight="1">
      <c r="A8" s="71"/>
      <c r="B8" s="75"/>
      <c r="C8" s="42" t="s">
        <v>20</v>
      </c>
      <c r="D8" s="13">
        <v>173238</v>
      </c>
      <c r="E8" s="26">
        <f>ROUNDDOWN(32202422,-3)/1000</f>
        <v>32202</v>
      </c>
      <c r="F8" s="26">
        <f>ROUNDDOWN(28345267,-3)/1000</f>
        <v>28345</v>
      </c>
      <c r="G8" s="26">
        <f>ROUNDDOWN(38591592,-3)/1000</f>
        <v>38591</v>
      </c>
      <c r="H8" s="26">
        <f>ROUNDDOWN(28848360,-3)/1000</f>
        <v>28848</v>
      </c>
      <c r="I8" s="27">
        <f t="shared" ref="I8" si="1">SUM(E8:H8)</f>
        <v>127986</v>
      </c>
      <c r="J8" s="28">
        <f t="shared" ref="J8:J22" si="2">H8/I8</f>
        <v>0.2253996530870564</v>
      </c>
      <c r="K8" s="26">
        <f>ROUNDDOWN(31062309,-3)/1000</f>
        <v>31062</v>
      </c>
      <c r="L8" s="30">
        <v>0.27079999999999999</v>
      </c>
      <c r="M8" s="29"/>
    </row>
    <row r="9" spans="1:13" ht="39" customHeight="1">
      <c r="A9" s="71"/>
      <c r="B9" s="74" t="s">
        <v>14</v>
      </c>
      <c r="C9" s="42" t="s">
        <v>19</v>
      </c>
      <c r="D9" s="13">
        <v>49047</v>
      </c>
      <c r="E9" s="26">
        <f>ROUNDDOWN(7495986,-3)/1000</f>
        <v>7495</v>
      </c>
      <c r="F9" s="26">
        <f>ROUNDDOWN(7014649,-3)/1000</f>
        <v>7014</v>
      </c>
      <c r="G9" s="26">
        <f>ROUNDDOWN(6720405,-3)/1000</f>
        <v>6720</v>
      </c>
      <c r="H9" s="26">
        <f>ROUNDDOWN(10672322,-3)/1000</f>
        <v>10672</v>
      </c>
      <c r="I9" s="27">
        <f t="shared" ref="I9" si="3">SUM(E9:H9)</f>
        <v>31901</v>
      </c>
      <c r="J9" s="28">
        <f t="shared" si="2"/>
        <v>0.33453496755587597</v>
      </c>
      <c r="K9" s="26">
        <f>ROUNDDOWN(23886253,-3)/1000</f>
        <v>23886</v>
      </c>
      <c r="L9" s="31">
        <v>0.61180000000000001</v>
      </c>
      <c r="M9" s="32"/>
    </row>
    <row r="10" spans="1:13" ht="39" customHeight="1">
      <c r="A10" s="71"/>
      <c r="B10" s="75"/>
      <c r="C10" s="42" t="s">
        <v>20</v>
      </c>
      <c r="D10" s="13">
        <v>124</v>
      </c>
      <c r="E10" s="26">
        <f>ROUNDDOWN(0,-3)/1000</f>
        <v>0</v>
      </c>
      <c r="F10" s="26">
        <f>ROUNDDOWN(0,-3)/1000</f>
        <v>0</v>
      </c>
      <c r="G10" s="26">
        <f>ROUNDDOWN(0,-3)/1000</f>
        <v>0</v>
      </c>
      <c r="H10" s="26">
        <f>ROUNDDOWN(0,-3)/1000</f>
        <v>0</v>
      </c>
      <c r="I10" s="27">
        <f t="shared" ref="I10:I23" si="4">SUM(E10:H10)</f>
        <v>0</v>
      </c>
      <c r="J10" s="28">
        <f>0</f>
        <v>0</v>
      </c>
      <c r="K10" s="26">
        <f>ROUNDDOWN(287938182,-3)/1000</f>
        <v>287938</v>
      </c>
      <c r="L10" s="33">
        <v>0.67930000000000001</v>
      </c>
      <c r="M10" s="30"/>
    </row>
    <row r="11" spans="1:13" ht="39" customHeight="1">
      <c r="A11" s="71"/>
      <c r="B11" s="44" t="s">
        <v>15</v>
      </c>
      <c r="C11" s="42" t="s">
        <v>19</v>
      </c>
      <c r="D11" s="13">
        <v>92568</v>
      </c>
      <c r="E11" s="26">
        <f>ROUNDDOWN(1840775,-3)/1000</f>
        <v>1840</v>
      </c>
      <c r="F11" s="26">
        <f>ROUNDDOWN(1137797,-3)/1000</f>
        <v>1137</v>
      </c>
      <c r="G11" s="26">
        <f>ROUNDDOWN(5288898,-3)/1000</f>
        <v>5288</v>
      </c>
      <c r="H11" s="26">
        <f>ROUNDDOWN(26951459,-3)/1000</f>
        <v>26951</v>
      </c>
      <c r="I11" s="27">
        <f t="shared" si="4"/>
        <v>35216</v>
      </c>
      <c r="J11" s="28">
        <f t="shared" si="2"/>
        <v>0.7653055429350295</v>
      </c>
      <c r="K11" s="26">
        <f>ROUNDDOWN(40664040,-3)/1000</f>
        <v>40664</v>
      </c>
      <c r="L11" s="33">
        <v>0.48430000000000001</v>
      </c>
      <c r="M11" s="29"/>
    </row>
    <row r="12" spans="1:13" ht="39" customHeight="1">
      <c r="A12" s="71"/>
      <c r="B12" s="42" t="s">
        <v>16</v>
      </c>
      <c r="C12" s="41" t="s">
        <v>19</v>
      </c>
      <c r="D12" s="13">
        <v>10076</v>
      </c>
      <c r="E12" s="26">
        <f>ROUNDDOWN(108128,-3)/1000</f>
        <v>108</v>
      </c>
      <c r="F12" s="26">
        <f>ROUNDDOWN(1293960,-3)/1000</f>
        <v>1293</v>
      </c>
      <c r="G12" s="26">
        <f>ROUNDDOWN(1522965,-3)/1000</f>
        <v>1522</v>
      </c>
      <c r="H12" s="26">
        <f>ROUNDDOWN(676261,-3)/1000</f>
        <v>676</v>
      </c>
      <c r="I12" s="27">
        <f t="shared" si="4"/>
        <v>3599</v>
      </c>
      <c r="J12" s="28">
        <f t="shared" si="2"/>
        <v>0.18782995276465686</v>
      </c>
      <c r="K12" s="26">
        <f>ROUNDDOWN(1920357,-3)/1000</f>
        <v>1920</v>
      </c>
      <c r="L12" s="33">
        <v>0.56340000000000001</v>
      </c>
      <c r="M12" s="29"/>
    </row>
    <row r="13" spans="1:13" ht="39" customHeight="1">
      <c r="A13" s="71"/>
      <c r="B13" s="42" t="s">
        <v>17</v>
      </c>
      <c r="C13" s="43" t="s">
        <v>19</v>
      </c>
      <c r="D13" s="13">
        <v>4043</v>
      </c>
      <c r="E13" s="26">
        <f>ROUNDDOWN(5400,-3)/1000</f>
        <v>5</v>
      </c>
      <c r="F13" s="26">
        <f>ROUNDDOWN(244240,-3)/1000</f>
        <v>244</v>
      </c>
      <c r="G13" s="26">
        <f>ROUNDDOWN(2722297,-3)/1000</f>
        <v>2722</v>
      </c>
      <c r="H13" s="26">
        <f>ROUNDDOWN(118398,-3)/1000</f>
        <v>118</v>
      </c>
      <c r="I13" s="27">
        <f t="shared" si="4"/>
        <v>3089</v>
      </c>
      <c r="J13" s="28">
        <f t="shared" si="2"/>
        <v>3.8200064745872453E-2</v>
      </c>
      <c r="K13" s="26">
        <f>ROUNDDOWN(1712430,-3)/1000</f>
        <v>1712</v>
      </c>
      <c r="L13" s="33">
        <v>0.9345</v>
      </c>
      <c r="M13" s="29"/>
    </row>
    <row r="14" spans="1:13" ht="39" customHeight="1">
      <c r="A14" s="71"/>
      <c r="B14" s="41" t="s">
        <v>18</v>
      </c>
      <c r="C14" s="42" t="s">
        <v>20</v>
      </c>
      <c r="D14" s="13">
        <v>58011</v>
      </c>
      <c r="E14" s="26">
        <f>ROUNDDOWN(2934117,-3)/1000</f>
        <v>2934</v>
      </c>
      <c r="F14" s="26">
        <f>ROUNDDOWN(4092211,-3)/1000</f>
        <v>4092</v>
      </c>
      <c r="G14" s="26">
        <f>ROUNDDOWN(8246117,-3)/1000</f>
        <v>8246</v>
      </c>
      <c r="H14" s="26">
        <f>ROUNDDOWN(21563488,-3)/1000</f>
        <v>21563</v>
      </c>
      <c r="I14" s="27">
        <f t="shared" si="4"/>
        <v>36835</v>
      </c>
      <c r="J14" s="28">
        <f t="shared" si="2"/>
        <v>0.58539432604859509</v>
      </c>
      <c r="K14" s="26">
        <f>ROUNDDOWN(25599017,-3)/1000</f>
        <v>25599</v>
      </c>
      <c r="L14" s="33">
        <v>0.60509999999999997</v>
      </c>
      <c r="M14" s="30"/>
    </row>
    <row r="15" spans="1:13" ht="39" customHeight="1">
      <c r="A15" s="68" t="s">
        <v>12</v>
      </c>
      <c r="B15" s="69" t="s">
        <v>21</v>
      </c>
      <c r="C15" s="41" t="s">
        <v>19</v>
      </c>
      <c r="D15" s="13">
        <v>3865996</v>
      </c>
      <c r="E15" s="26">
        <f>ROUNDDOWN(1744072395,-3)/1000</f>
        <v>1744072</v>
      </c>
      <c r="F15" s="26">
        <f>ROUNDDOWN(67785340,-3)/1000</f>
        <v>67785</v>
      </c>
      <c r="G15" s="26">
        <f>ROUNDDOWN(1043581459,-3)/1000</f>
        <v>1043581</v>
      </c>
      <c r="H15" s="26">
        <f>ROUNDDOWN(906793113,-3)/1000</f>
        <v>906793</v>
      </c>
      <c r="I15" s="27">
        <f t="shared" si="4"/>
        <v>3762231</v>
      </c>
      <c r="J15" s="28">
        <f t="shared" si="2"/>
        <v>0.24102533842286664</v>
      </c>
      <c r="K15" s="26">
        <f>ROUNDDOWN(915240747,-3)/1000</f>
        <v>915240</v>
      </c>
      <c r="L15" s="33">
        <v>0.24279999999999999</v>
      </c>
      <c r="M15" s="30"/>
    </row>
    <row r="16" spans="1:13" ht="39" customHeight="1">
      <c r="A16" s="68"/>
      <c r="B16" s="69"/>
      <c r="C16" s="41" t="s">
        <v>20</v>
      </c>
      <c r="D16" s="13">
        <v>3075126</v>
      </c>
      <c r="E16" s="26">
        <f>ROUNDDOWN(1387301888,-3)/1000</f>
        <v>1387301</v>
      </c>
      <c r="F16" s="26">
        <f>ROUNDDOWN(53919189,-3)/1000</f>
        <v>53919</v>
      </c>
      <c r="G16" s="26">
        <f>ROUNDDOWN(830100239,-3)/1000</f>
        <v>830100</v>
      </c>
      <c r="H16" s="26">
        <f>ROUNDDOWN(721292493,-3)/1000</f>
        <v>721292</v>
      </c>
      <c r="I16" s="27">
        <f t="shared" ref="I16" si="5">SUM(E16:H16)</f>
        <v>2992612</v>
      </c>
      <c r="J16" s="28">
        <f t="shared" si="2"/>
        <v>0.24102422900128717</v>
      </c>
      <c r="K16" s="26">
        <f>ROUNDDOWN(728085908,-3)/1000</f>
        <v>728085</v>
      </c>
      <c r="L16" s="33">
        <v>0.24279999999999999</v>
      </c>
      <c r="M16" s="30"/>
    </row>
    <row r="17" spans="1:13" ht="39" customHeight="1">
      <c r="A17" s="68"/>
      <c r="B17" s="69" t="s">
        <v>14</v>
      </c>
      <c r="C17" s="41" t="s">
        <v>19</v>
      </c>
      <c r="D17" s="13">
        <v>41819</v>
      </c>
      <c r="E17" s="26">
        <f>ROUNDDOWN(5323650,-3)/1000</f>
        <v>5323</v>
      </c>
      <c r="F17" s="26">
        <f>ROUNDDOWN(4429896,-3)/1000</f>
        <v>4429</v>
      </c>
      <c r="G17" s="26">
        <f>ROUNDDOWN(6302356,-3)/1000</f>
        <v>6302</v>
      </c>
      <c r="H17" s="26">
        <f>ROUNDDOWN(9269267,-3)/1000</f>
        <v>9269</v>
      </c>
      <c r="I17" s="27">
        <f t="shared" si="4"/>
        <v>25323</v>
      </c>
      <c r="J17" s="28">
        <f t="shared" si="2"/>
        <v>0.36603088101725706</v>
      </c>
      <c r="K17" s="26">
        <f>ROUNDDOWN(5448216,-3)/1000</f>
        <v>5448</v>
      </c>
      <c r="L17" s="33">
        <v>0.27829999999999999</v>
      </c>
      <c r="M17" s="29" t="s">
        <v>50</v>
      </c>
    </row>
    <row r="18" spans="1:13" ht="39" customHeight="1">
      <c r="A18" s="68"/>
      <c r="B18" s="69"/>
      <c r="C18" s="41" t="s">
        <v>20</v>
      </c>
      <c r="D18" s="13">
        <v>20642</v>
      </c>
      <c r="E18" s="26">
        <f>ROUNDDOWN(1548726,-3)/1000</f>
        <v>1548</v>
      </c>
      <c r="F18" s="26">
        <f>ROUNDDOWN(6507192,-3)/1000</f>
        <v>6507</v>
      </c>
      <c r="G18" s="26">
        <f>ROUNDDOWN(1259500,-3)/1000</f>
        <v>1259</v>
      </c>
      <c r="H18" s="26">
        <f>ROUNDDOWN(6039259,-3)/1000</f>
        <v>6039</v>
      </c>
      <c r="I18" s="27">
        <f t="shared" si="4"/>
        <v>15353</v>
      </c>
      <c r="J18" s="28">
        <f t="shared" si="2"/>
        <v>0.39334332052367615</v>
      </c>
      <c r="K18" s="26">
        <f>ROUNDDOWN(3423204,-3)/1000</f>
        <v>3423</v>
      </c>
      <c r="L18" s="33">
        <v>0.28820000000000001</v>
      </c>
      <c r="M18" s="29" t="s">
        <v>49</v>
      </c>
    </row>
    <row r="19" spans="1:13" ht="39" customHeight="1">
      <c r="A19" s="68"/>
      <c r="B19" s="69" t="s">
        <v>15</v>
      </c>
      <c r="C19" s="41" t="s">
        <v>19</v>
      </c>
      <c r="D19" s="13">
        <v>13926</v>
      </c>
      <c r="E19" s="26">
        <f>ROUNDDOWN(1031107,-3)/1000</f>
        <v>1031</v>
      </c>
      <c r="F19" s="26">
        <f>ROUNDDOWN(1819529,-3)/1000</f>
        <v>1819</v>
      </c>
      <c r="G19" s="26">
        <f>ROUNDDOWN(2365403,-3)/1000</f>
        <v>2365</v>
      </c>
      <c r="H19" s="26">
        <f>ROUNDDOWN(2160402,-3)/1000</f>
        <v>2160</v>
      </c>
      <c r="I19" s="27">
        <f t="shared" si="4"/>
        <v>7375</v>
      </c>
      <c r="J19" s="28">
        <f t="shared" si="2"/>
        <v>0.29288135593220338</v>
      </c>
      <c r="K19" s="26">
        <f>ROUNDDOWN(2783154,-3)/1000</f>
        <v>2783</v>
      </c>
      <c r="L19" s="33">
        <v>0.31609999999999999</v>
      </c>
      <c r="M19" s="30"/>
    </row>
    <row r="20" spans="1:13" ht="39" customHeight="1">
      <c r="A20" s="68"/>
      <c r="B20" s="69"/>
      <c r="C20" s="41" t="s">
        <v>20</v>
      </c>
      <c r="D20" s="13">
        <v>9304</v>
      </c>
      <c r="E20" s="26">
        <f>ROUNDDOWN(1988082,-3)/1000</f>
        <v>1988</v>
      </c>
      <c r="F20" s="26">
        <f>ROUNDDOWN(1617550,-3)/1000</f>
        <v>1617</v>
      </c>
      <c r="G20" s="26">
        <f>ROUNDDOWN(4452058,-3)/1000</f>
        <v>4452</v>
      </c>
      <c r="H20" s="26">
        <f>ROUNDDOWN(25960,-3)/1000</f>
        <v>25</v>
      </c>
      <c r="I20" s="27">
        <f t="shared" si="4"/>
        <v>8082</v>
      </c>
      <c r="J20" s="28">
        <f t="shared" si="2"/>
        <v>3.093293739173472E-3</v>
      </c>
      <c r="K20" s="26">
        <f>ROUNDDOWN(7564670,-3)/1000</f>
        <v>7564</v>
      </c>
      <c r="L20" s="33">
        <v>0.74329999999999996</v>
      </c>
      <c r="M20" s="29"/>
    </row>
    <row r="21" spans="1:13" ht="39" customHeight="1">
      <c r="A21" s="68"/>
      <c r="B21" s="69" t="s">
        <v>16</v>
      </c>
      <c r="C21" s="41" t="s">
        <v>19</v>
      </c>
      <c r="D21" s="13">
        <v>6173</v>
      </c>
      <c r="E21" s="26">
        <f>ROUNDDOWN(817016,-3)/1000</f>
        <v>817</v>
      </c>
      <c r="F21" s="26">
        <f>ROUNDDOWN(1450552,-3)/1000</f>
        <v>1450</v>
      </c>
      <c r="G21" s="26">
        <f>ROUNDDOWN(2246197,-3)/1000</f>
        <v>2246</v>
      </c>
      <c r="H21" s="26">
        <f>ROUNDDOWN(631820,-3)/1000</f>
        <v>631</v>
      </c>
      <c r="I21" s="27">
        <f t="shared" si="4"/>
        <v>5144</v>
      </c>
      <c r="J21" s="28">
        <f t="shared" si="2"/>
        <v>0.12266718506998445</v>
      </c>
      <c r="K21" s="26">
        <f>ROUNDDOWN(170016,-3)/1000</f>
        <v>170</v>
      </c>
      <c r="L21" s="33">
        <v>0.35049999999999998</v>
      </c>
      <c r="M21" s="30"/>
    </row>
    <row r="22" spans="1:13" ht="39" customHeight="1">
      <c r="A22" s="68"/>
      <c r="B22" s="69"/>
      <c r="C22" s="41" t="s">
        <v>20</v>
      </c>
      <c r="D22" s="13">
        <v>145</v>
      </c>
      <c r="E22" s="26">
        <f>ROUNDDOWN(6600,-3)/1000</f>
        <v>6</v>
      </c>
      <c r="F22" s="26">
        <f>ROUNDDOWN(0,-3)/1000</f>
        <v>0</v>
      </c>
      <c r="G22" s="26">
        <f t="shared" ref="G22" si="6">ROUNDDOWN(,-3)/1000</f>
        <v>0</v>
      </c>
      <c r="H22" s="26">
        <f>ROUNDDOWN(30470,-3)/1000</f>
        <v>30</v>
      </c>
      <c r="I22" s="27">
        <f t="shared" si="4"/>
        <v>36</v>
      </c>
      <c r="J22" s="28">
        <f t="shared" si="2"/>
        <v>0.83333333333333337</v>
      </c>
      <c r="K22" s="26">
        <f>ROUNDDOWN(24528,-3)/1000</f>
        <v>24</v>
      </c>
      <c r="L22" s="33">
        <v>1</v>
      </c>
      <c r="M22" s="30"/>
    </row>
    <row r="23" spans="1:13" ht="39" customHeight="1">
      <c r="A23" s="53"/>
      <c r="B23" s="41" t="s">
        <v>18</v>
      </c>
      <c r="C23" s="41" t="s">
        <v>20</v>
      </c>
      <c r="D23" s="13">
        <v>18097</v>
      </c>
      <c r="E23" s="27">
        <f>ROUNDDOWN(1265913,-3)/1000</f>
        <v>1265</v>
      </c>
      <c r="F23" s="27">
        <f>ROUNDDOWN(2962556,-3)/1000</f>
        <v>2962</v>
      </c>
      <c r="G23" s="27">
        <f>ROUNDDOWN(2856280,-3)/1000</f>
        <v>2856</v>
      </c>
      <c r="H23" s="27">
        <f>ROUNDDOWN(4753966,-3)/1000</f>
        <v>4753</v>
      </c>
      <c r="I23" s="27">
        <f t="shared" si="4"/>
        <v>11836</v>
      </c>
      <c r="J23" s="28">
        <f>H23/I23</f>
        <v>0.40157147685028727</v>
      </c>
      <c r="K23" s="27">
        <f>ROUNDDOWN(1564035,-3)/1000</f>
        <v>1564</v>
      </c>
      <c r="L23" s="33">
        <v>0.18310000000000001</v>
      </c>
      <c r="M23" s="29" t="s">
        <v>51</v>
      </c>
    </row>
    <row r="24" spans="1:13">
      <c r="A24" s="16" t="s">
        <v>42</v>
      </c>
      <c r="B24" s="16"/>
      <c r="C24" s="17"/>
      <c r="D24" s="16"/>
      <c r="E24" s="18"/>
      <c r="F24" s="18"/>
      <c r="G24" s="18"/>
      <c r="H24" s="18"/>
      <c r="I24" s="18"/>
      <c r="J24" s="18"/>
      <c r="K24" s="18"/>
      <c r="L24" s="20"/>
      <c r="M24" s="20"/>
    </row>
    <row r="25" spans="1:13">
      <c r="A25" s="20"/>
      <c r="B25" s="20"/>
      <c r="C25" s="20"/>
      <c r="D25" s="21"/>
      <c r="E25" s="18"/>
      <c r="F25" s="18"/>
      <c r="G25" s="23"/>
      <c r="H25" s="18"/>
      <c r="I25" s="18"/>
      <c r="J25" s="18"/>
      <c r="K25" s="18"/>
      <c r="L25" s="20"/>
      <c r="M25" s="20"/>
    </row>
    <row r="26" spans="1:13" ht="16.5">
      <c r="A26" s="73" t="s">
        <v>4</v>
      </c>
      <c r="B26" s="73"/>
      <c r="C26" s="73"/>
      <c r="D26" s="20"/>
      <c r="E26" s="18"/>
      <c r="F26" s="18"/>
      <c r="G26" s="18"/>
      <c r="H26" s="20"/>
      <c r="I26" s="20"/>
      <c r="J26" s="20"/>
      <c r="K26" s="20"/>
      <c r="L26" s="20"/>
      <c r="M26" s="34" t="s">
        <v>3</v>
      </c>
    </row>
    <row r="27" spans="1:13" ht="22.5" customHeight="1">
      <c r="A27" s="72" t="s">
        <v>0</v>
      </c>
      <c r="B27" s="72" t="s">
        <v>1</v>
      </c>
      <c r="C27" s="72" t="s">
        <v>2</v>
      </c>
      <c r="D27" s="66" t="s">
        <v>47</v>
      </c>
      <c r="E27" s="51" t="s">
        <v>38</v>
      </c>
      <c r="F27" s="60"/>
      <c r="G27" s="60"/>
      <c r="H27" s="60"/>
      <c r="I27" s="61"/>
      <c r="J27" s="62"/>
      <c r="K27" s="51" t="s">
        <v>48</v>
      </c>
      <c r="L27" s="52"/>
      <c r="M27" s="53" t="s">
        <v>44</v>
      </c>
    </row>
    <row r="28" spans="1:13" ht="13.5" customHeight="1">
      <c r="A28" s="71"/>
      <c r="B28" s="71"/>
      <c r="C28" s="71"/>
      <c r="D28" s="67"/>
      <c r="E28" s="54" t="s">
        <v>7</v>
      </c>
      <c r="F28" s="64" t="s">
        <v>8</v>
      </c>
      <c r="G28" s="54" t="s">
        <v>9</v>
      </c>
      <c r="H28" s="54" t="s">
        <v>10</v>
      </c>
      <c r="I28" s="54" t="s">
        <v>39</v>
      </c>
      <c r="J28" s="56" t="s">
        <v>40</v>
      </c>
      <c r="K28" s="58" t="s">
        <v>41</v>
      </c>
      <c r="L28" s="58" t="s">
        <v>40</v>
      </c>
      <c r="M28" s="53"/>
    </row>
    <row r="29" spans="1:13" ht="28.5" customHeight="1">
      <c r="A29" s="76"/>
      <c r="B29" s="76"/>
      <c r="C29" s="76"/>
      <c r="D29" s="67"/>
      <c r="E29" s="63"/>
      <c r="F29" s="65"/>
      <c r="G29" s="63"/>
      <c r="H29" s="63"/>
      <c r="I29" s="55"/>
      <c r="J29" s="57"/>
      <c r="K29" s="59"/>
      <c r="L29" s="57"/>
      <c r="M29" s="53"/>
    </row>
    <row r="30" spans="1:13" ht="39" customHeight="1">
      <c r="A30" s="68" t="s">
        <v>11</v>
      </c>
      <c r="B30" s="41" t="s">
        <v>13</v>
      </c>
      <c r="C30" s="42" t="s">
        <v>24</v>
      </c>
      <c r="D30" s="35">
        <v>11889878</v>
      </c>
      <c r="E30" s="27">
        <f>ROUNDDOWN(1263467738,-3)/1000</f>
        <v>1263467</v>
      </c>
      <c r="F30" s="27">
        <f>ROUNDDOWN(2320699824,-3)/1000</f>
        <v>2320699</v>
      </c>
      <c r="G30" s="27">
        <f>ROUNDDOWN(2381439641,-3)/1000</f>
        <v>2381439</v>
      </c>
      <c r="H30" s="27">
        <f>ROUNDDOWN(5403273477,-3)/1000</f>
        <v>5403273</v>
      </c>
      <c r="I30" s="27">
        <f t="shared" ref="I30:I37" si="7">SUM(E30:H30)</f>
        <v>11368878</v>
      </c>
      <c r="J30" s="28">
        <f>H30/I30</f>
        <v>0.47526879961241558</v>
      </c>
      <c r="K30" s="27">
        <f>ROUNDDOWN(5524517032,-3)/1000</f>
        <v>5524517</v>
      </c>
      <c r="L30" s="30">
        <v>0.50670000000000004</v>
      </c>
      <c r="M30" s="30"/>
    </row>
    <row r="31" spans="1:13" ht="39" customHeight="1">
      <c r="A31" s="68"/>
      <c r="B31" s="41" t="s">
        <v>22</v>
      </c>
      <c r="C31" s="41" t="s">
        <v>24</v>
      </c>
      <c r="D31" s="35">
        <v>20627</v>
      </c>
      <c r="E31" s="27">
        <f>ROUNDDOWN(2554086,-3)/1000</f>
        <v>2554</v>
      </c>
      <c r="F31" s="27">
        <f>ROUNDDOWN(4418964,-3)/1000</f>
        <v>4418</v>
      </c>
      <c r="G31" s="27">
        <f>ROUNDDOWN(4988968,-3)/1000</f>
        <v>4988</v>
      </c>
      <c r="H31" s="27">
        <f>ROUNDDOWN(7593490,-3)/1000</f>
        <v>7593</v>
      </c>
      <c r="I31" s="27">
        <f t="shared" si="7"/>
        <v>19553</v>
      </c>
      <c r="J31" s="28">
        <f t="shared" ref="J31:J37" si="8">H31/I31</f>
        <v>0.38832915665115325</v>
      </c>
      <c r="K31" s="27">
        <f>ROUNDDOWN(5626643,-3)/1000</f>
        <v>5626</v>
      </c>
      <c r="L31" s="33">
        <v>0.41470000000000001</v>
      </c>
      <c r="M31" s="29"/>
    </row>
    <row r="32" spans="1:13" ht="39" customHeight="1">
      <c r="A32" s="68"/>
      <c r="B32" s="41" t="s">
        <v>15</v>
      </c>
      <c r="C32" s="41" t="s">
        <v>24</v>
      </c>
      <c r="D32" s="35">
        <v>493423</v>
      </c>
      <c r="E32" s="27">
        <f>ROUNDDOWN(62643957,-3)/1000</f>
        <v>62643</v>
      </c>
      <c r="F32" s="27">
        <f>ROUNDDOWN(82882731,-3)/1000</f>
        <v>82882</v>
      </c>
      <c r="G32" s="27">
        <f>ROUNDDOWN(95145705,-3)/1000</f>
        <v>95145</v>
      </c>
      <c r="H32" s="27">
        <f>ROUNDDOWN(250194017,-3)/1000</f>
        <v>250194</v>
      </c>
      <c r="I32" s="27">
        <f t="shared" si="7"/>
        <v>490864</v>
      </c>
      <c r="J32" s="28">
        <f t="shared" si="8"/>
        <v>0.50970126144919981</v>
      </c>
      <c r="K32" s="27">
        <f>ROUNDDOWN(267956599,-3)/1000</f>
        <v>267956</v>
      </c>
      <c r="L32" s="36">
        <v>0.52139999999999997</v>
      </c>
      <c r="M32" s="29"/>
    </row>
    <row r="33" spans="1:13" ht="39" customHeight="1">
      <c r="A33" s="68"/>
      <c r="B33" s="41" t="s">
        <v>23</v>
      </c>
      <c r="C33" s="41" t="s">
        <v>24</v>
      </c>
      <c r="D33" s="35">
        <v>1011832</v>
      </c>
      <c r="E33" s="27">
        <f>ROUNDDOWN(34962346,-3)/1000</f>
        <v>34962</v>
      </c>
      <c r="F33" s="27">
        <f>ROUNDDOWN(80636269,-3)/1000</f>
        <v>80636</v>
      </c>
      <c r="G33" s="27">
        <f>ROUNDDOWN(99704655,-3)/1000</f>
        <v>99704</v>
      </c>
      <c r="H33" s="27">
        <f>ROUNDDOWN(749177384,-3)/1000</f>
        <v>749177</v>
      </c>
      <c r="I33" s="27">
        <f t="shared" si="7"/>
        <v>964479</v>
      </c>
      <c r="J33" s="28">
        <f t="shared" si="8"/>
        <v>0.7767685973463393</v>
      </c>
      <c r="K33" s="27">
        <f>ROUNDDOWN(290071972,-3)/1000</f>
        <v>290071</v>
      </c>
      <c r="L33" s="33">
        <v>0.59830000000000005</v>
      </c>
      <c r="M33" s="29" t="s">
        <v>49</v>
      </c>
    </row>
    <row r="34" spans="1:13" ht="39" customHeight="1">
      <c r="A34" s="68"/>
      <c r="B34" s="41" t="s">
        <v>17</v>
      </c>
      <c r="C34" s="41" t="s">
        <v>24</v>
      </c>
      <c r="D34" s="35">
        <v>4093994</v>
      </c>
      <c r="E34" s="27">
        <f>ROUNDDOWN(154372621,-3)/1000</f>
        <v>154372</v>
      </c>
      <c r="F34" s="27">
        <f>ROUNDDOWN(311331383,-3)/1000</f>
        <v>311331</v>
      </c>
      <c r="G34" s="27">
        <f>ROUNDDOWN(376501295,-3)/1000</f>
        <v>376501</v>
      </c>
      <c r="H34" s="27">
        <f>ROUNDDOWN(3171447653,-3)/1000</f>
        <v>3171447</v>
      </c>
      <c r="I34" s="27">
        <f t="shared" si="7"/>
        <v>4013651</v>
      </c>
      <c r="J34" s="28">
        <f t="shared" si="8"/>
        <v>0.79016511400717204</v>
      </c>
      <c r="K34" s="27">
        <f>ROUNDDOWN(2213703116,-3)/1000</f>
        <v>2213703</v>
      </c>
      <c r="L34" s="33">
        <v>0.68589999999999995</v>
      </c>
      <c r="M34" s="29" t="s">
        <v>49</v>
      </c>
    </row>
    <row r="35" spans="1:13" ht="39" customHeight="1">
      <c r="A35" s="68" t="s">
        <v>12</v>
      </c>
      <c r="B35" s="69" t="s">
        <v>21</v>
      </c>
      <c r="C35" s="41" t="s">
        <v>24</v>
      </c>
      <c r="D35" s="35">
        <v>154067</v>
      </c>
      <c r="E35" s="27">
        <f>ROUNDDOWN(81241605,-3)/1000</f>
        <v>81241</v>
      </c>
      <c r="F35" s="27">
        <f>ROUNDDOWN(1455240,-3)/1000</f>
        <v>1455</v>
      </c>
      <c r="G35" s="27">
        <f>ROUNDDOWN(51313048,-3)/1000</f>
        <v>51313</v>
      </c>
      <c r="H35" s="27">
        <f>ROUNDDOWN(1580382,-3)/1000</f>
        <v>1580</v>
      </c>
      <c r="I35" s="27">
        <f t="shared" si="7"/>
        <v>135589</v>
      </c>
      <c r="J35" s="28">
        <f t="shared" si="8"/>
        <v>1.1652862695351393E-2</v>
      </c>
      <c r="K35" s="27">
        <f>ROUNDDOWN(985438,-3)/1000</f>
        <v>985</v>
      </c>
      <c r="L35" s="33">
        <v>7.4000000000000003E-3</v>
      </c>
      <c r="M35" s="29" t="s">
        <v>53</v>
      </c>
    </row>
    <row r="36" spans="1:13" ht="39" customHeight="1">
      <c r="A36" s="68"/>
      <c r="B36" s="69"/>
      <c r="C36" s="41" t="s">
        <v>25</v>
      </c>
      <c r="D36" s="35">
        <v>122550</v>
      </c>
      <c r="E36" s="27">
        <f>ROUNDDOWN(64622454,-3)/1000</f>
        <v>64622</v>
      </c>
      <c r="F36" s="27">
        <f>ROUNDDOWN(1157334,-3)/1000</f>
        <v>1157</v>
      </c>
      <c r="G36" s="27">
        <f>ROUNDDOWN(40815113,-3)/1000</f>
        <v>40815</v>
      </c>
      <c r="H36" s="27">
        <f>ROUNDDOWN(1257097,-3)/1000</f>
        <v>1257</v>
      </c>
      <c r="I36" s="27">
        <f t="shared" si="7"/>
        <v>107851</v>
      </c>
      <c r="J36" s="28">
        <f t="shared" si="8"/>
        <v>1.1654968428665473E-2</v>
      </c>
      <c r="K36" s="27">
        <f>ROUNDDOWN(783506,-3)/1000</f>
        <v>783</v>
      </c>
      <c r="L36" s="33">
        <v>7.4000000000000003E-3</v>
      </c>
      <c r="M36" s="29" t="s">
        <v>53</v>
      </c>
    </row>
    <row r="37" spans="1:13" ht="39" customHeight="1">
      <c r="A37" s="68"/>
      <c r="B37" s="41" t="s">
        <v>26</v>
      </c>
      <c r="C37" s="41" t="s">
        <v>24</v>
      </c>
      <c r="D37" s="37">
        <v>9666</v>
      </c>
      <c r="E37" s="27">
        <f>ROUNDDOWN(2499123,-3)/1000</f>
        <v>2499</v>
      </c>
      <c r="F37" s="27">
        <f>ROUNDDOWN(1253270,-3)/1000</f>
        <v>1253</v>
      </c>
      <c r="G37" s="27">
        <f>ROUNDDOWN(2302286,-3)/1000</f>
        <v>2302</v>
      </c>
      <c r="H37" s="27">
        <f>ROUNDDOWN(869432,-3)/1000</f>
        <v>869</v>
      </c>
      <c r="I37" s="27">
        <f t="shared" si="7"/>
        <v>6923</v>
      </c>
      <c r="J37" s="28">
        <f t="shared" si="8"/>
        <v>0.12552361692907699</v>
      </c>
      <c r="K37" s="27">
        <f>ROUNDDOWN(16636037,-3)/1000</f>
        <v>16636</v>
      </c>
      <c r="L37" s="33">
        <v>0.37080000000000002</v>
      </c>
      <c r="M37" s="29"/>
    </row>
    <row r="38" spans="1:13">
      <c r="A38" s="20"/>
      <c r="B38" s="20"/>
      <c r="C38" s="20"/>
      <c r="D38" s="20"/>
      <c r="E38" s="20"/>
      <c r="F38" s="20"/>
      <c r="G38" s="20"/>
      <c r="H38" s="20"/>
      <c r="I38" s="20"/>
      <c r="J38" s="20"/>
      <c r="K38" s="20"/>
      <c r="L38" s="20"/>
      <c r="M38" s="20"/>
    </row>
    <row r="39" spans="1:13">
      <c r="A39" s="20"/>
      <c r="B39" s="20"/>
      <c r="C39" s="20"/>
      <c r="D39" s="20"/>
      <c r="E39" s="20"/>
      <c r="F39" s="20"/>
      <c r="G39" s="20"/>
      <c r="H39" s="20"/>
      <c r="I39" s="20"/>
      <c r="J39" s="20"/>
      <c r="K39" s="20"/>
      <c r="L39" s="20"/>
      <c r="M39" s="20"/>
    </row>
    <row r="40" spans="1:13" ht="16.5">
      <c r="A40" s="73" t="s">
        <v>5</v>
      </c>
      <c r="B40" s="73"/>
      <c r="C40" s="73"/>
      <c r="D40" s="20"/>
      <c r="E40" s="18"/>
      <c r="F40" s="18"/>
      <c r="G40" s="18"/>
      <c r="H40" s="20"/>
      <c r="I40" s="20"/>
      <c r="J40" s="20"/>
      <c r="K40" s="20"/>
      <c r="L40" s="20"/>
      <c r="M40" s="34" t="s">
        <v>3</v>
      </c>
    </row>
    <row r="41" spans="1:13" ht="35.15" customHeight="1">
      <c r="A41" s="70" t="s">
        <v>0</v>
      </c>
      <c r="B41" s="70" t="s">
        <v>1</v>
      </c>
      <c r="C41" s="70" t="s">
        <v>2</v>
      </c>
      <c r="D41" s="66" t="s">
        <v>47</v>
      </c>
      <c r="E41" s="51" t="s">
        <v>38</v>
      </c>
      <c r="F41" s="60"/>
      <c r="G41" s="60"/>
      <c r="H41" s="60"/>
      <c r="I41" s="61"/>
      <c r="J41" s="62"/>
      <c r="K41" s="51" t="s">
        <v>48</v>
      </c>
      <c r="L41" s="52"/>
      <c r="M41" s="53" t="s">
        <v>44</v>
      </c>
    </row>
    <row r="42" spans="1:13" ht="35.15" customHeight="1">
      <c r="A42" s="71"/>
      <c r="B42" s="71"/>
      <c r="C42" s="71"/>
      <c r="D42" s="67"/>
      <c r="E42" s="54" t="s">
        <v>7</v>
      </c>
      <c r="F42" s="64" t="s">
        <v>8</v>
      </c>
      <c r="G42" s="54" t="s">
        <v>9</v>
      </c>
      <c r="H42" s="54" t="s">
        <v>10</v>
      </c>
      <c r="I42" s="54" t="s">
        <v>39</v>
      </c>
      <c r="J42" s="56" t="s">
        <v>40</v>
      </c>
      <c r="K42" s="58" t="s">
        <v>41</v>
      </c>
      <c r="L42" s="58" t="s">
        <v>40</v>
      </c>
      <c r="M42" s="53"/>
    </row>
    <row r="43" spans="1:13" ht="35.15" customHeight="1">
      <c r="A43" s="71"/>
      <c r="B43" s="71"/>
      <c r="C43" s="71"/>
      <c r="D43" s="67"/>
      <c r="E43" s="63"/>
      <c r="F43" s="65"/>
      <c r="G43" s="63"/>
      <c r="H43" s="63"/>
      <c r="I43" s="55"/>
      <c r="J43" s="57"/>
      <c r="K43" s="59"/>
      <c r="L43" s="57"/>
      <c r="M43" s="53"/>
    </row>
    <row r="44" spans="1:13" ht="39" customHeight="1">
      <c r="A44" s="68" t="s">
        <v>11</v>
      </c>
      <c r="B44" s="41" t="s">
        <v>13</v>
      </c>
      <c r="C44" s="41" t="s">
        <v>27</v>
      </c>
      <c r="D44" s="38">
        <v>1437253</v>
      </c>
      <c r="E44" s="27">
        <f>ROUNDDOWN(96384969,-3)/1000</f>
        <v>96384</v>
      </c>
      <c r="F44" s="27">
        <f>ROUNDDOWN(272356214,-3)/1000</f>
        <v>272356</v>
      </c>
      <c r="G44" s="27">
        <f>ROUNDDOWN(272968097,-3)/1000</f>
        <v>272968</v>
      </c>
      <c r="H44" s="27">
        <f>ROUNDDOWN(736612364,-3)/1000</f>
        <v>736612</v>
      </c>
      <c r="I44" s="27">
        <f>SUM(E44:H44)</f>
        <v>1378320</v>
      </c>
      <c r="J44" s="28">
        <f t="shared" ref="J44:J50" si="9">H44/I44</f>
        <v>0.53442741888676071</v>
      </c>
      <c r="K44" s="27">
        <f>ROUNDDOWN(574952983,-3)/1000</f>
        <v>574952</v>
      </c>
      <c r="L44" s="30">
        <v>0.47089999999999999</v>
      </c>
      <c r="M44" s="29" t="s">
        <v>54</v>
      </c>
    </row>
    <row r="45" spans="1:13" ht="39" customHeight="1">
      <c r="A45" s="68"/>
      <c r="B45" s="41" t="s">
        <v>26</v>
      </c>
      <c r="C45" s="41" t="s">
        <v>27</v>
      </c>
      <c r="D45" s="14">
        <v>283424</v>
      </c>
      <c r="E45" s="27">
        <f>ROUNDDOWN(46803916,-3)/1000</f>
        <v>46803</v>
      </c>
      <c r="F45" s="27">
        <f>ROUNDDOWN(70205874,-3)/1000</f>
        <v>70205</v>
      </c>
      <c r="G45" s="27">
        <f>ROUNDDOWN(71072614,-3)/1000</f>
        <v>71072</v>
      </c>
      <c r="H45" s="27">
        <f>ROUNDDOWN(95341312,-3)/1000</f>
        <v>95341</v>
      </c>
      <c r="I45" s="27">
        <f t="shared" ref="I45:I52" si="10">SUM(E45:H45)</f>
        <v>283421</v>
      </c>
      <c r="J45" s="28">
        <f t="shared" si="9"/>
        <v>0.33639356293288075</v>
      </c>
      <c r="K45" s="27">
        <f>ROUNDDOWN(98534992,-3)/1000</f>
        <v>98534</v>
      </c>
      <c r="L45" s="30">
        <v>0.33329999999999999</v>
      </c>
      <c r="M45" s="30"/>
    </row>
    <row r="46" spans="1:13" ht="39" customHeight="1">
      <c r="A46" s="68" t="s">
        <v>12</v>
      </c>
      <c r="B46" s="69" t="s">
        <v>21</v>
      </c>
      <c r="C46" s="41" t="s">
        <v>27</v>
      </c>
      <c r="D46" s="14">
        <v>1249560</v>
      </c>
      <c r="E46" s="27">
        <f>ROUNDDOWN(332097742,-3)/1000</f>
        <v>332097</v>
      </c>
      <c r="F46" s="27">
        <f>ROUNDDOWN(162893088,-3)/1000</f>
        <v>162893</v>
      </c>
      <c r="G46" s="27">
        <f>ROUNDDOWN(424525966,-3)/1000</f>
        <v>424525</v>
      </c>
      <c r="H46" s="27">
        <f>ROUNDDOWN(195305289,-3)/1000</f>
        <v>195305</v>
      </c>
      <c r="I46" s="27">
        <f t="shared" si="10"/>
        <v>1114820</v>
      </c>
      <c r="J46" s="28">
        <f t="shared" si="9"/>
        <v>0.17518971672557004</v>
      </c>
      <c r="K46" s="27">
        <f>ROUNDDOWN(303165144,-3)/1000</f>
        <v>303165</v>
      </c>
      <c r="L46" s="30">
        <v>0.25569999999999998</v>
      </c>
      <c r="M46" s="29"/>
    </row>
    <row r="47" spans="1:13" ht="39" customHeight="1">
      <c r="A47" s="68"/>
      <c r="B47" s="69"/>
      <c r="C47" s="41" t="s">
        <v>28</v>
      </c>
      <c r="D47" s="14">
        <v>993943</v>
      </c>
      <c r="E47" s="27">
        <f>ROUNDDOWN(264146405,-3)/1000</f>
        <v>264146</v>
      </c>
      <c r="F47" s="27">
        <f>ROUNDDOWN(129570207,-3)/1000</f>
        <v>129570</v>
      </c>
      <c r="G47" s="27">
        <f>ROUNDDOWN(337680182,-3)/1000</f>
        <v>337680</v>
      </c>
      <c r="H47" s="27">
        <f>ROUNDDOWN(155363010,-3)/1000</f>
        <v>155363</v>
      </c>
      <c r="I47" s="27">
        <f t="shared" si="10"/>
        <v>886759</v>
      </c>
      <c r="J47" s="28">
        <f t="shared" si="9"/>
        <v>0.17520318372861171</v>
      </c>
      <c r="K47" s="27">
        <f>ROUNDDOWN(241153743,-3)/1000</f>
        <v>241153</v>
      </c>
      <c r="L47" s="30">
        <v>0.25569999999999998</v>
      </c>
      <c r="M47" s="29"/>
    </row>
    <row r="48" spans="1:13" ht="39" customHeight="1">
      <c r="A48" s="68"/>
      <c r="B48" s="41" t="s">
        <v>14</v>
      </c>
      <c r="C48" s="41" t="s">
        <v>27</v>
      </c>
      <c r="D48" s="14">
        <v>973</v>
      </c>
      <c r="E48" s="27">
        <f>ROUNDDOWN(0,-3)/1000</f>
        <v>0</v>
      </c>
      <c r="F48" s="27">
        <f>ROUNDDOWN(0,-3)/1000</f>
        <v>0</v>
      </c>
      <c r="G48" s="27">
        <f t="shared" ref="G48:H52" si="11">ROUNDDOWN(,-3)/1000</f>
        <v>0</v>
      </c>
      <c r="H48" s="27">
        <f t="shared" si="11"/>
        <v>0</v>
      </c>
      <c r="I48" s="27">
        <f t="shared" si="10"/>
        <v>0</v>
      </c>
      <c r="J48" s="28">
        <f>0</f>
        <v>0</v>
      </c>
      <c r="K48" s="27">
        <f t="shared" ref="K48:K52" si="12">ROUNDDOWN(,-3)/1000</f>
        <v>0</v>
      </c>
      <c r="L48" s="39">
        <v>0</v>
      </c>
      <c r="M48" s="29"/>
    </row>
    <row r="49" spans="1:13" ht="39" customHeight="1">
      <c r="A49" s="68"/>
      <c r="B49" s="69" t="s">
        <v>15</v>
      </c>
      <c r="C49" s="41" t="s">
        <v>27</v>
      </c>
      <c r="D49" s="14">
        <v>2478</v>
      </c>
      <c r="E49" s="27">
        <f>ROUNDDOWN(12885,-3)/1000</f>
        <v>12</v>
      </c>
      <c r="F49" s="27">
        <f>ROUNDDOWN(211540,-3)/1000</f>
        <v>211</v>
      </c>
      <c r="G49" s="27">
        <f>ROUNDDOWN(159315,-3)/1000</f>
        <v>159</v>
      </c>
      <c r="H49" s="27">
        <f>ROUNDDOWN(86125,-3)/1000</f>
        <v>86</v>
      </c>
      <c r="I49" s="27">
        <f t="shared" si="10"/>
        <v>468</v>
      </c>
      <c r="J49" s="28">
        <f t="shared" si="9"/>
        <v>0.18376068376068377</v>
      </c>
      <c r="K49" s="27">
        <f>ROUNDDOWN(6240,-3)/1000</f>
        <v>6</v>
      </c>
      <c r="L49" s="30">
        <v>1.04E-2</v>
      </c>
      <c r="M49" s="29" t="s">
        <v>52</v>
      </c>
    </row>
    <row r="50" spans="1:13" ht="39" customHeight="1">
      <c r="A50" s="68"/>
      <c r="B50" s="69"/>
      <c r="C50" s="41" t="s">
        <v>28</v>
      </c>
      <c r="D50" s="14">
        <v>2540</v>
      </c>
      <c r="E50" s="27">
        <f>ROUNDDOWN(140970,-3)/1000</f>
        <v>140</v>
      </c>
      <c r="F50" s="27">
        <f>ROUNDDOWN(337090,-3)/1000</f>
        <v>337</v>
      </c>
      <c r="G50" s="27">
        <f>ROUNDDOWN(439255,-3)/1000</f>
        <v>439</v>
      </c>
      <c r="H50" s="27">
        <f>ROUNDDOWN(116720,-3)/1000</f>
        <v>116</v>
      </c>
      <c r="I50" s="27">
        <f t="shared" si="10"/>
        <v>1032</v>
      </c>
      <c r="J50" s="28">
        <f t="shared" si="9"/>
        <v>0.1124031007751938</v>
      </c>
      <c r="K50" s="27">
        <f>ROUNDDOWN(533692,-3)/1000</f>
        <v>533</v>
      </c>
      <c r="L50" s="30">
        <v>0.39250000000000002</v>
      </c>
      <c r="M50" s="30"/>
    </row>
    <row r="51" spans="1:13" ht="39" customHeight="1">
      <c r="A51" s="68"/>
      <c r="B51" s="41" t="s">
        <v>17</v>
      </c>
      <c r="C51" s="41" t="s">
        <v>27</v>
      </c>
      <c r="D51" s="14">
        <v>55113</v>
      </c>
      <c r="E51" s="27">
        <f>ROUNDDOWN(10658958,-3)/1000</f>
        <v>10658</v>
      </c>
      <c r="F51" s="27">
        <f>ROUNDDOWN(5606765,-3)/1000</f>
        <v>5606</v>
      </c>
      <c r="G51" s="27">
        <f>ROUNDDOWN(12739156,-3)/1000</f>
        <v>12739</v>
      </c>
      <c r="H51" s="27">
        <f>ROUNDDOWN(3440600,-3)/1000</f>
        <v>3440</v>
      </c>
      <c r="I51" s="27">
        <f t="shared" si="10"/>
        <v>32443</v>
      </c>
      <c r="J51" s="28">
        <f t="shared" ref="J51" si="13">H51/I51</f>
        <v>0.10603211786826126</v>
      </c>
      <c r="K51" s="27">
        <f>ROUNDDOWN(5082280,-3)/1000</f>
        <v>5082</v>
      </c>
      <c r="L51" s="30">
        <v>0.12239999999999999</v>
      </c>
      <c r="M51" s="29"/>
    </row>
    <row r="52" spans="1:13" ht="39" customHeight="1">
      <c r="A52" s="68"/>
      <c r="B52" s="41" t="s">
        <v>18</v>
      </c>
      <c r="C52" s="41" t="s">
        <v>28</v>
      </c>
      <c r="D52" s="14">
        <v>45</v>
      </c>
      <c r="E52" s="27">
        <f>ROUNDDOWN(0,-3)/1000</f>
        <v>0</v>
      </c>
      <c r="F52" s="27">
        <f>ROUNDDOWN(0,-3)/1000</f>
        <v>0</v>
      </c>
      <c r="G52" s="27">
        <f t="shared" si="11"/>
        <v>0</v>
      </c>
      <c r="H52" s="27">
        <f t="shared" si="11"/>
        <v>0</v>
      </c>
      <c r="I52" s="27">
        <f t="shared" si="10"/>
        <v>0</v>
      </c>
      <c r="J52" s="28">
        <f>0</f>
        <v>0</v>
      </c>
      <c r="K52" s="27">
        <f t="shared" si="12"/>
        <v>0</v>
      </c>
      <c r="L52" s="30">
        <v>0</v>
      </c>
      <c r="M52" s="30"/>
    </row>
    <row r="53" spans="1:13">
      <c r="A53" s="20"/>
      <c r="B53" s="20"/>
      <c r="C53" s="20"/>
      <c r="D53" s="20"/>
      <c r="E53" s="18"/>
      <c r="F53" s="18"/>
      <c r="G53" s="18"/>
      <c r="H53" s="18"/>
      <c r="I53" s="18"/>
      <c r="J53" s="18"/>
      <c r="K53" s="18"/>
      <c r="L53" s="20"/>
      <c r="M53" s="20"/>
    </row>
    <row r="54" spans="1:13">
      <c r="A54" s="20"/>
      <c r="B54" s="20"/>
      <c r="C54" s="20"/>
      <c r="D54" s="20"/>
      <c r="E54" s="18"/>
      <c r="F54" s="18"/>
      <c r="G54" s="18"/>
      <c r="H54" s="18"/>
      <c r="I54" s="18"/>
      <c r="J54" s="18"/>
      <c r="K54" s="18"/>
      <c r="L54" s="20"/>
      <c r="M54" s="20"/>
    </row>
    <row r="55" spans="1:13" ht="16.5">
      <c r="A55" s="73" t="s">
        <v>6</v>
      </c>
      <c r="B55" s="73"/>
      <c r="C55" s="73"/>
      <c r="D55" s="20"/>
      <c r="E55" s="18"/>
      <c r="F55" s="18"/>
      <c r="G55" s="18"/>
      <c r="H55" s="20"/>
      <c r="I55" s="20"/>
      <c r="J55" s="20"/>
      <c r="K55" s="20"/>
      <c r="L55" s="20"/>
      <c r="M55" s="34" t="s">
        <v>3</v>
      </c>
    </row>
    <row r="56" spans="1:13" ht="22.5" customHeight="1">
      <c r="A56" s="72" t="s">
        <v>0</v>
      </c>
      <c r="B56" s="72" t="s">
        <v>1</v>
      </c>
      <c r="C56" s="72" t="s">
        <v>2</v>
      </c>
      <c r="D56" s="66" t="s">
        <v>47</v>
      </c>
      <c r="E56" s="51" t="s">
        <v>38</v>
      </c>
      <c r="F56" s="60"/>
      <c r="G56" s="60"/>
      <c r="H56" s="60"/>
      <c r="I56" s="61"/>
      <c r="J56" s="62"/>
      <c r="K56" s="51" t="s">
        <v>48</v>
      </c>
      <c r="L56" s="52"/>
      <c r="M56" s="53" t="s">
        <v>44</v>
      </c>
    </row>
    <row r="57" spans="1:13" ht="13.5" customHeight="1">
      <c r="A57" s="71"/>
      <c r="B57" s="71"/>
      <c r="C57" s="71"/>
      <c r="D57" s="67"/>
      <c r="E57" s="54" t="s">
        <v>7</v>
      </c>
      <c r="F57" s="64" t="s">
        <v>8</v>
      </c>
      <c r="G57" s="54" t="s">
        <v>9</v>
      </c>
      <c r="H57" s="54" t="s">
        <v>10</v>
      </c>
      <c r="I57" s="54" t="s">
        <v>39</v>
      </c>
      <c r="J57" s="56" t="s">
        <v>40</v>
      </c>
      <c r="K57" s="58" t="s">
        <v>41</v>
      </c>
      <c r="L57" s="58" t="s">
        <v>40</v>
      </c>
      <c r="M57" s="53"/>
    </row>
    <row r="58" spans="1:13" ht="28.5" customHeight="1">
      <c r="A58" s="71"/>
      <c r="B58" s="71"/>
      <c r="C58" s="71"/>
      <c r="D58" s="67"/>
      <c r="E58" s="63"/>
      <c r="F58" s="65"/>
      <c r="G58" s="63"/>
      <c r="H58" s="63"/>
      <c r="I58" s="55"/>
      <c r="J58" s="57"/>
      <c r="K58" s="59"/>
      <c r="L58" s="57"/>
      <c r="M58" s="53"/>
    </row>
    <row r="59" spans="1:13" ht="39" customHeight="1">
      <c r="A59" s="40" t="s">
        <v>11</v>
      </c>
      <c r="B59" s="15" t="s">
        <v>17</v>
      </c>
      <c r="C59" s="15" t="s">
        <v>29</v>
      </c>
      <c r="D59" s="38">
        <v>9242956</v>
      </c>
      <c r="E59" s="27">
        <f>ROUNDDOWN(99539833,-3)/1000</f>
        <v>99539</v>
      </c>
      <c r="F59" s="27">
        <f>ROUNDDOWN(2122769211,-3)/1000</f>
        <v>2122769</v>
      </c>
      <c r="G59" s="27">
        <f>ROUNDDOWN(2241683203,-3)/1000</f>
        <v>2241683</v>
      </c>
      <c r="H59" s="27">
        <f>ROUNDDOWN(4696478673,-3)/1000</f>
        <v>4696478</v>
      </c>
      <c r="I59" s="27">
        <f>SUM(E59:H59)</f>
        <v>9160469</v>
      </c>
      <c r="J59" s="28">
        <f t="shared" ref="J59" si="14">H59/I59</f>
        <v>0.51268968870480325</v>
      </c>
      <c r="K59" s="27">
        <f>ROUNDDOWN(4905432480,-3)/1000</f>
        <v>4905432</v>
      </c>
      <c r="L59" s="28">
        <v>0.50449999999999995</v>
      </c>
      <c r="M59" s="29"/>
    </row>
    <row r="60" spans="1:13">
      <c r="A60" s="20"/>
      <c r="B60" s="20"/>
      <c r="C60" s="20"/>
      <c r="D60" s="20"/>
      <c r="E60" s="18"/>
      <c r="F60" s="18"/>
      <c r="G60" s="18"/>
      <c r="H60" s="18"/>
      <c r="I60" s="18"/>
      <c r="J60" s="18"/>
      <c r="K60" s="18"/>
      <c r="L60" s="20"/>
      <c r="M60" s="20"/>
    </row>
    <row r="61" spans="1:13">
      <c r="A61" s="20"/>
      <c r="B61" s="20"/>
      <c r="C61" s="20"/>
      <c r="D61" s="20"/>
      <c r="E61" s="20"/>
      <c r="F61" s="20"/>
      <c r="G61" s="20"/>
      <c r="H61" s="20"/>
      <c r="I61" s="20"/>
      <c r="J61" s="20"/>
      <c r="K61" s="20"/>
      <c r="L61" s="20"/>
      <c r="M61" s="20"/>
    </row>
    <row r="62" spans="1:13" ht="16.5">
      <c r="A62" s="73" t="s">
        <v>37</v>
      </c>
      <c r="B62" s="73"/>
      <c r="C62" s="73"/>
      <c r="D62" s="20"/>
      <c r="E62" s="18"/>
      <c r="F62" s="18"/>
      <c r="G62" s="18"/>
      <c r="H62" s="20"/>
      <c r="I62" s="20"/>
      <c r="J62" s="20"/>
      <c r="K62" s="20"/>
      <c r="L62" s="20"/>
      <c r="M62" s="34" t="s">
        <v>3</v>
      </c>
    </row>
    <row r="63" spans="1:13" ht="22.5" customHeight="1">
      <c r="A63" s="72" t="s">
        <v>0</v>
      </c>
      <c r="B63" s="72" t="s">
        <v>1</v>
      </c>
      <c r="C63" s="72" t="s">
        <v>2</v>
      </c>
      <c r="D63" s="66" t="s">
        <v>47</v>
      </c>
      <c r="E63" s="51" t="s">
        <v>38</v>
      </c>
      <c r="F63" s="60"/>
      <c r="G63" s="60"/>
      <c r="H63" s="60"/>
      <c r="I63" s="61"/>
      <c r="J63" s="62"/>
      <c r="K63" s="51" t="s">
        <v>48</v>
      </c>
      <c r="L63" s="52"/>
      <c r="M63" s="53" t="s">
        <v>44</v>
      </c>
    </row>
    <row r="64" spans="1:13" ht="13.5" customHeight="1">
      <c r="A64" s="71"/>
      <c r="B64" s="71"/>
      <c r="C64" s="71"/>
      <c r="D64" s="67"/>
      <c r="E64" s="54" t="s">
        <v>7</v>
      </c>
      <c r="F64" s="64" t="s">
        <v>8</v>
      </c>
      <c r="G64" s="54" t="s">
        <v>9</v>
      </c>
      <c r="H64" s="54" t="s">
        <v>10</v>
      </c>
      <c r="I64" s="54" t="s">
        <v>39</v>
      </c>
      <c r="J64" s="56" t="s">
        <v>40</v>
      </c>
      <c r="K64" s="58" t="s">
        <v>41</v>
      </c>
      <c r="L64" s="58" t="s">
        <v>40</v>
      </c>
      <c r="M64" s="53"/>
    </row>
    <row r="65" spans="1:13" ht="28.5" customHeight="1">
      <c r="A65" s="71"/>
      <c r="B65" s="71"/>
      <c r="C65" s="71"/>
      <c r="D65" s="67"/>
      <c r="E65" s="63"/>
      <c r="F65" s="65"/>
      <c r="G65" s="63"/>
      <c r="H65" s="63"/>
      <c r="I65" s="55"/>
      <c r="J65" s="57"/>
      <c r="K65" s="59"/>
      <c r="L65" s="57"/>
      <c r="M65" s="53"/>
    </row>
    <row r="66" spans="1:13" ht="39" customHeight="1">
      <c r="A66" s="68" t="s">
        <v>11</v>
      </c>
      <c r="B66" s="69" t="s">
        <v>13</v>
      </c>
      <c r="C66" s="15" t="s">
        <v>31</v>
      </c>
      <c r="D66" s="38">
        <v>1923240</v>
      </c>
      <c r="E66" s="27">
        <f>ROUNDDOWN(243897905,-3)/1000</f>
        <v>243897</v>
      </c>
      <c r="F66" s="27">
        <f>ROUNDDOWN(250109526,-3)/1000</f>
        <v>250109</v>
      </c>
      <c r="G66" s="27">
        <f>ROUNDDOWN(421269286,-3)/1000</f>
        <v>421269</v>
      </c>
      <c r="H66" s="27">
        <f>ROUNDDOWN(488923908,-3)/1000</f>
        <v>488923</v>
      </c>
      <c r="I66" s="27">
        <f t="shared" ref="I66:I74" si="15">SUM(E66:H66)</f>
        <v>1404198</v>
      </c>
      <c r="J66" s="28">
        <f t="shared" ref="J66:J74" si="16">H66/I66</f>
        <v>0.3481866517399968</v>
      </c>
      <c r="K66" s="27">
        <f>ROUNDDOWN(602148678,-3)/1000</f>
        <v>602148</v>
      </c>
      <c r="L66" s="30">
        <v>0.32490000000000002</v>
      </c>
      <c r="M66" s="29"/>
    </row>
    <row r="67" spans="1:13" ht="39" customHeight="1">
      <c r="A67" s="68"/>
      <c r="B67" s="69"/>
      <c r="C67" s="15" t="s">
        <v>32</v>
      </c>
      <c r="D67" s="38">
        <v>316131</v>
      </c>
      <c r="E67" s="27">
        <f>ROUNDDOWN(39609279,-3)/1000</f>
        <v>39609</v>
      </c>
      <c r="F67" s="27">
        <f>ROUNDDOWN(52154756,-3)/1000</f>
        <v>52154</v>
      </c>
      <c r="G67" s="27">
        <f>ROUNDDOWN(65255226,-3)/1000</f>
        <v>65255</v>
      </c>
      <c r="H67" s="27">
        <f>ROUNDDOWN(107445453,-3)/1000</f>
        <v>107445</v>
      </c>
      <c r="I67" s="27">
        <f t="shared" si="15"/>
        <v>264463</v>
      </c>
      <c r="J67" s="28">
        <f t="shared" si="16"/>
        <v>0.40627611423904292</v>
      </c>
      <c r="K67" s="27">
        <f>ROUNDDOWN(116304778,-3)/1000</f>
        <v>116304</v>
      </c>
      <c r="L67" s="30">
        <v>0.40450000000000003</v>
      </c>
      <c r="M67" s="29"/>
    </row>
    <row r="68" spans="1:13" ht="39" customHeight="1">
      <c r="A68" s="68"/>
      <c r="B68" s="69" t="s">
        <v>22</v>
      </c>
      <c r="C68" s="15" t="s">
        <v>31</v>
      </c>
      <c r="D68" s="14">
        <v>220678</v>
      </c>
      <c r="E68" s="27">
        <f>ROUNDDOWN(19093526,-3)/1000</f>
        <v>19093</v>
      </c>
      <c r="F68" s="27">
        <f>ROUNDDOWN(28752361,-3)/1000</f>
        <v>28752</v>
      </c>
      <c r="G68" s="27">
        <f>ROUNDDOWN(63862697,-3)/1000</f>
        <v>63862</v>
      </c>
      <c r="H68" s="27">
        <f>ROUNDDOWN(55267239,-3)/1000</f>
        <v>55267</v>
      </c>
      <c r="I68" s="27">
        <f t="shared" si="15"/>
        <v>166974</v>
      </c>
      <c r="J68" s="28">
        <f t="shared" si="16"/>
        <v>0.33099165139482795</v>
      </c>
      <c r="K68" s="27">
        <f>ROUNDDOWN(56030147,-3)/1000</f>
        <v>56030</v>
      </c>
      <c r="L68" s="30">
        <v>0.36120000000000002</v>
      </c>
      <c r="M68" s="29"/>
    </row>
    <row r="69" spans="1:13" ht="39" customHeight="1">
      <c r="A69" s="68"/>
      <c r="B69" s="69"/>
      <c r="C69" s="15" t="s">
        <v>32</v>
      </c>
      <c r="D69" s="14">
        <v>130751</v>
      </c>
      <c r="E69" s="27">
        <f>ROUNDDOWN(8945202,-3)/1000</f>
        <v>8945</v>
      </c>
      <c r="F69" s="27">
        <f>ROUNDDOWN(27576032,-3)/1000</f>
        <v>27576</v>
      </c>
      <c r="G69" s="27">
        <f>ROUNDDOWN(50239142,-3)/1000</f>
        <v>50239</v>
      </c>
      <c r="H69" s="27">
        <f>ROUNDDOWN(39484804,-3)/1000</f>
        <v>39484</v>
      </c>
      <c r="I69" s="27">
        <f t="shared" si="15"/>
        <v>126244</v>
      </c>
      <c r="J69" s="28">
        <f t="shared" si="16"/>
        <v>0.31275941826938308</v>
      </c>
      <c r="K69" s="27">
        <f>ROUNDDOWN(46556060,-3)/1000</f>
        <v>46556</v>
      </c>
      <c r="L69" s="30">
        <v>0.3543</v>
      </c>
      <c r="M69" s="29"/>
    </row>
    <row r="70" spans="1:13" ht="39" customHeight="1">
      <c r="A70" s="68"/>
      <c r="B70" s="69" t="s">
        <v>15</v>
      </c>
      <c r="C70" s="15" t="s">
        <v>31</v>
      </c>
      <c r="D70" s="14">
        <v>403981</v>
      </c>
      <c r="E70" s="27">
        <f>ROUNDDOWN(41483400,-3)/1000</f>
        <v>41483</v>
      </c>
      <c r="F70" s="27">
        <f>ROUNDDOWN(67877858,-3)/1000</f>
        <v>67877</v>
      </c>
      <c r="G70" s="27">
        <f>ROUNDDOWN(90514010,-3)/1000</f>
        <v>90514</v>
      </c>
      <c r="H70" s="27">
        <f>ROUNDDOWN(106001097,-3)/1000</f>
        <v>106001</v>
      </c>
      <c r="I70" s="27">
        <f t="shared" si="15"/>
        <v>305875</v>
      </c>
      <c r="J70" s="28">
        <f t="shared" si="16"/>
        <v>0.34655006129955046</v>
      </c>
      <c r="K70" s="27">
        <f>ROUNDDOWN(124205407,-3)/1000</f>
        <v>124205</v>
      </c>
      <c r="L70" s="30">
        <v>0.3387</v>
      </c>
      <c r="M70" s="29"/>
    </row>
    <row r="71" spans="1:13" ht="39" customHeight="1">
      <c r="A71" s="68"/>
      <c r="B71" s="69"/>
      <c r="C71" s="15" t="s">
        <v>32</v>
      </c>
      <c r="D71" s="14">
        <v>62467</v>
      </c>
      <c r="E71" s="27">
        <f>ROUNDDOWN(12096440,-3)/1000</f>
        <v>12096</v>
      </c>
      <c r="F71" s="27">
        <f>ROUNDDOWN(19344381,-3)/1000</f>
        <v>19344</v>
      </c>
      <c r="G71" s="27">
        <f>ROUNDDOWN(16975581,-3)/1000</f>
        <v>16975</v>
      </c>
      <c r="H71" s="27">
        <f>ROUNDDOWN(4346867,-3)/1000</f>
        <v>4346</v>
      </c>
      <c r="I71" s="27">
        <f t="shared" si="15"/>
        <v>52761</v>
      </c>
      <c r="J71" s="28">
        <f t="shared" si="16"/>
        <v>8.2371448607873238E-2</v>
      </c>
      <c r="K71" s="27">
        <f>ROUNDDOWN(16731935,-3)/1000</f>
        <v>16731</v>
      </c>
      <c r="L71" s="30">
        <v>0.24110000000000001</v>
      </c>
      <c r="M71" s="29"/>
    </row>
    <row r="72" spans="1:13" ht="39" customHeight="1">
      <c r="A72" s="68"/>
      <c r="B72" s="15" t="s">
        <v>23</v>
      </c>
      <c r="C72" s="15" t="s">
        <v>31</v>
      </c>
      <c r="D72" s="14">
        <v>53441</v>
      </c>
      <c r="E72" s="27">
        <f>ROUNDDOWN(86410,-3)/1000</f>
        <v>86</v>
      </c>
      <c r="F72" s="27">
        <f>ROUNDDOWN(7969038,-3)/1000</f>
        <v>7969</v>
      </c>
      <c r="G72" s="27">
        <f>ROUNDDOWN(13064597,-3)/1000</f>
        <v>13064</v>
      </c>
      <c r="H72" s="27">
        <f>ROUNDDOWN(9451315,-3)/1000</f>
        <v>9451</v>
      </c>
      <c r="I72" s="27">
        <f t="shared" si="15"/>
        <v>30570</v>
      </c>
      <c r="J72" s="28">
        <f t="shared" si="16"/>
        <v>0.30915930650964996</v>
      </c>
      <c r="K72" s="27">
        <f>ROUNDDOWN(18554660,-3)/1000</f>
        <v>18554</v>
      </c>
      <c r="L72" s="30">
        <v>0.4325</v>
      </c>
      <c r="M72" s="29"/>
    </row>
    <row r="73" spans="1:13" ht="39" customHeight="1">
      <c r="A73" s="68"/>
      <c r="B73" s="15" t="s">
        <v>17</v>
      </c>
      <c r="C73" s="15" t="s">
        <v>31</v>
      </c>
      <c r="D73" s="38">
        <v>16810</v>
      </c>
      <c r="E73" s="27">
        <f>ROUNDDOWN(1616756,-3)/1000</f>
        <v>1616</v>
      </c>
      <c r="F73" s="27">
        <f>ROUNDDOWN(2076144,-3)/1000</f>
        <v>2076</v>
      </c>
      <c r="G73" s="27">
        <f>ROUNDDOWN(7228904,-3)/1000</f>
        <v>7228</v>
      </c>
      <c r="H73" s="27">
        <f>ROUNDDOWN(1919534,-3)/1000</f>
        <v>1919</v>
      </c>
      <c r="I73" s="27">
        <f t="shared" si="15"/>
        <v>12839</v>
      </c>
      <c r="J73" s="28">
        <f t="shared" si="16"/>
        <v>0.14946646935119556</v>
      </c>
      <c r="K73" s="27">
        <f>ROUNDDOWN(4177180,-3)/1000</f>
        <v>4177</v>
      </c>
      <c r="L73" s="30">
        <v>0.2283</v>
      </c>
      <c r="M73" s="29"/>
    </row>
    <row r="74" spans="1:13" ht="39" customHeight="1">
      <c r="A74" s="68"/>
      <c r="B74" s="15" t="s">
        <v>30</v>
      </c>
      <c r="C74" s="15" t="s">
        <v>32</v>
      </c>
      <c r="D74" s="14">
        <v>98529</v>
      </c>
      <c r="E74" s="27">
        <f>ROUNDDOWN(16965427,-3)/1000</f>
        <v>16965</v>
      </c>
      <c r="F74" s="27">
        <f>ROUNDDOWN(10378114,-3)/1000</f>
        <v>10378</v>
      </c>
      <c r="G74" s="27">
        <f>ROUNDDOWN(22161590,-3)/1000</f>
        <v>22161</v>
      </c>
      <c r="H74" s="27">
        <f>ROUNDDOWN(26603203,-3)/1000</f>
        <v>26603</v>
      </c>
      <c r="I74" s="27">
        <f t="shared" si="15"/>
        <v>76107</v>
      </c>
      <c r="J74" s="28">
        <f t="shared" si="16"/>
        <v>0.34954734781294755</v>
      </c>
      <c r="K74" s="27">
        <f>ROUNDDOWN(35568906,-3)/1000</f>
        <v>35568</v>
      </c>
      <c r="L74" s="30">
        <v>0.39900000000000002</v>
      </c>
      <c r="M74" s="29"/>
    </row>
  </sheetData>
  <mergeCells count="99">
    <mergeCell ref="I28:I29"/>
    <mergeCell ref="I5:I6"/>
    <mergeCell ref="E5:E6"/>
    <mergeCell ref="F5:F6"/>
    <mergeCell ref="G5:G6"/>
    <mergeCell ref="H5:H6"/>
    <mergeCell ref="A3:C3"/>
    <mergeCell ref="A4:A6"/>
    <mergeCell ref="B4:B6"/>
    <mergeCell ref="C4:C6"/>
    <mergeCell ref="B21:B22"/>
    <mergeCell ref="B17:B18"/>
    <mergeCell ref="A15:A23"/>
    <mergeCell ref="B19:B20"/>
    <mergeCell ref="B9:B10"/>
    <mergeCell ref="B15:B16"/>
    <mergeCell ref="A40:C40"/>
    <mergeCell ref="A35:A37"/>
    <mergeCell ref="B35:B36"/>
    <mergeCell ref="A30:A34"/>
    <mergeCell ref="D4:D6"/>
    <mergeCell ref="A7:A14"/>
    <mergeCell ref="B7:B8"/>
    <mergeCell ref="D27:D29"/>
    <mergeCell ref="A27:A29"/>
    <mergeCell ref="B27:B29"/>
    <mergeCell ref="C27:C29"/>
    <mergeCell ref="A26:C26"/>
    <mergeCell ref="A41:A43"/>
    <mergeCell ref="B41:B43"/>
    <mergeCell ref="C41:C43"/>
    <mergeCell ref="A63:A65"/>
    <mergeCell ref="B63:B65"/>
    <mergeCell ref="C63:C65"/>
    <mergeCell ref="B46:B47"/>
    <mergeCell ref="B49:B50"/>
    <mergeCell ref="A62:C62"/>
    <mergeCell ref="A44:A45"/>
    <mergeCell ref="A55:C55"/>
    <mergeCell ref="A56:A58"/>
    <mergeCell ref="B56:B58"/>
    <mergeCell ref="C56:C58"/>
    <mergeCell ref="A46:A52"/>
    <mergeCell ref="E64:E65"/>
    <mergeCell ref="E63:J63"/>
    <mergeCell ref="A66:A74"/>
    <mergeCell ref="B66:B67"/>
    <mergeCell ref="B68:B69"/>
    <mergeCell ref="B70:B71"/>
    <mergeCell ref="D63:D65"/>
    <mergeCell ref="F64:F65"/>
    <mergeCell ref="G64:G65"/>
    <mergeCell ref="H64:H65"/>
    <mergeCell ref="D41:D43"/>
    <mergeCell ref="E57:E58"/>
    <mergeCell ref="F57:F58"/>
    <mergeCell ref="G57:G58"/>
    <mergeCell ref="H57:H58"/>
    <mergeCell ref="E56:J56"/>
    <mergeCell ref="F42:F43"/>
    <mergeCell ref="E42:E43"/>
    <mergeCell ref="D56:D58"/>
    <mergeCell ref="M4:M6"/>
    <mergeCell ref="E27:J27"/>
    <mergeCell ref="K27:L27"/>
    <mergeCell ref="M27:M29"/>
    <mergeCell ref="J28:J29"/>
    <mergeCell ref="K28:K29"/>
    <mergeCell ref="L28:L29"/>
    <mergeCell ref="J5:J6"/>
    <mergeCell ref="E4:J4"/>
    <mergeCell ref="L5:L6"/>
    <mergeCell ref="K5:K6"/>
    <mergeCell ref="K4:L4"/>
    <mergeCell ref="E28:E29"/>
    <mergeCell ref="F28:F29"/>
    <mergeCell ref="G28:G29"/>
    <mergeCell ref="H28:H29"/>
    <mergeCell ref="K63:L63"/>
    <mergeCell ref="M63:M65"/>
    <mergeCell ref="I64:I65"/>
    <mergeCell ref="J64:J65"/>
    <mergeCell ref="K64:K65"/>
    <mergeCell ref="L64:L65"/>
    <mergeCell ref="K41:L41"/>
    <mergeCell ref="M41:M43"/>
    <mergeCell ref="I42:I43"/>
    <mergeCell ref="J42:J43"/>
    <mergeCell ref="K42:K43"/>
    <mergeCell ref="L42:L43"/>
    <mergeCell ref="E41:J41"/>
    <mergeCell ref="G42:G43"/>
    <mergeCell ref="H42:H43"/>
    <mergeCell ref="K56:L56"/>
    <mergeCell ref="M56:M58"/>
    <mergeCell ref="I57:I58"/>
    <mergeCell ref="J57:J58"/>
    <mergeCell ref="K57:K58"/>
    <mergeCell ref="L57:L58"/>
  </mergeCells>
  <phoneticPr fontId="1"/>
  <printOptions horizontalCentered="1"/>
  <pageMargins left="0.19685039370078741" right="0.19685039370078741" top="0.43307086614173229" bottom="0.23622047244094491" header="0.31496062992125984" footer="0.15748031496062992"/>
  <pageSetup paperSize="9" scale="74" fitToHeight="0" orientation="landscape" r:id="rId1"/>
  <rowBreaks count="3" manualBreakCount="3">
    <brk id="25" max="16383" man="1"/>
    <brk id="39"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公表版</vt:lpstr>
      <vt:lpstr>公表版!Print_Area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2020-06-09T05:15:03Z</cp:lastPrinted>
  <dcterms:created xsi:type="dcterms:W3CDTF">2010-07-08T09:52:02Z</dcterms:created>
  <dcterms:modified xsi:type="dcterms:W3CDTF">2020-06-09T07:10:42Z</dcterms:modified>
</cp:coreProperties>
</file>