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195" windowHeight="12045" tabRatio="961"/>
  </bookViews>
  <sheets>
    <sheet name="２．月別・種類別発行数" sheetId="1" r:id="rId1"/>
    <sheet name="３．年代別・性別発行数" sheetId="2" r:id="rId2"/>
    <sheet name="４．年代別・月別発行数" sheetId="6" r:id="rId3"/>
    <sheet name="５．性別・月別発行数" sheetId="7" r:id="rId4"/>
    <sheet name="６．月別・都道府県別発行数" sheetId="5" r:id="rId5"/>
    <sheet name="７．一般旅券発行数" sheetId="4" r:id="rId6"/>
    <sheet name="８．年代別・都道府県別発行数" sheetId="8" r:id="rId7"/>
    <sheet name="９．有効旅券数" sheetId="9" r:id="rId8"/>
    <sheet name="１０．旅券発行数及び海外旅行者数" sheetId="10" r:id="rId9"/>
    <sheet name="１１．紛失・盗難件数" sheetId="13" r:id="rId10"/>
    <sheet name="１２．不正使用件数" sheetId="12" r:id="rId11"/>
    <sheet name="一般旅券発行数の推移" sheetId="11" r:id="rId12"/>
    <sheet name="一般旅券紛失・盗難件数" sheetId="14" r:id="rId13"/>
  </sheets>
  <definedNames>
    <definedName name="_xlnm.Print_Area" localSheetId="11">一般旅券発行数の推移!$A$5:$P$38</definedName>
  </definedNames>
  <calcPr calcId="145621" concurrentCalc="0"/>
</workbook>
</file>

<file path=xl/calcChain.xml><?xml version="1.0" encoding="utf-8"?>
<calcChain xmlns="http://schemas.openxmlformats.org/spreadsheetml/2006/main">
  <c r="F64" i="9" l="1"/>
  <c r="Z4" i="14"/>
  <c r="Y4" i="14"/>
  <c r="X4" i="14"/>
  <c r="W4" i="14"/>
  <c r="V4" i="14"/>
  <c r="T4" i="14"/>
  <c r="S4" i="14"/>
  <c r="R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H4" i="13"/>
  <c r="B17" i="8"/>
  <c r="B14" i="8"/>
  <c r="B19" i="8"/>
  <c r="B18" i="8"/>
  <c r="B16" i="8"/>
  <c r="B15" i="8"/>
  <c r="B13" i="8"/>
  <c r="B12" i="8"/>
  <c r="B11" i="8"/>
  <c r="B10" i="8"/>
  <c r="B9" i="8"/>
  <c r="B8" i="8"/>
  <c r="B7" i="8"/>
  <c r="B6" i="8"/>
  <c r="B5" i="8"/>
  <c r="B4" i="8"/>
  <c r="D51" i="8"/>
  <c r="D53" i="8"/>
  <c r="I51" i="8"/>
  <c r="I53" i="8"/>
  <c r="G71" i="10"/>
  <c r="H71" i="10"/>
  <c r="H51" i="8"/>
  <c r="H53" i="8"/>
  <c r="J10" i="8"/>
  <c r="J52" i="8"/>
  <c r="J5" i="8"/>
  <c r="J6" i="8"/>
  <c r="J7" i="8"/>
  <c r="J8" i="8"/>
  <c r="J9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4" i="8"/>
  <c r="B51" i="8"/>
  <c r="E51" i="8"/>
  <c r="E53" i="8"/>
  <c r="F51" i="8"/>
  <c r="F53" i="8"/>
  <c r="G51" i="8"/>
  <c r="C8" i="7"/>
  <c r="B8" i="7"/>
  <c r="C7" i="7"/>
  <c r="D7" i="7"/>
  <c r="B7" i="7"/>
  <c r="C6" i="7"/>
  <c r="B6" i="7"/>
  <c r="B16" i="7"/>
  <c r="C16" i="7"/>
  <c r="D5" i="7"/>
  <c r="D8" i="7"/>
  <c r="D9" i="7"/>
  <c r="D10" i="7"/>
  <c r="D11" i="7"/>
  <c r="D12" i="7"/>
  <c r="D13" i="7"/>
  <c r="D14" i="7"/>
  <c r="D15" i="7"/>
  <c r="D4" i="7"/>
  <c r="I15" i="6"/>
  <c r="H15" i="6"/>
  <c r="G15" i="6"/>
  <c r="F15" i="6"/>
  <c r="E15" i="6"/>
  <c r="D15" i="6"/>
  <c r="C15" i="6"/>
  <c r="B15" i="6"/>
  <c r="J15" i="6"/>
  <c r="I14" i="6"/>
  <c r="H14" i="6"/>
  <c r="G14" i="6"/>
  <c r="F14" i="6"/>
  <c r="E14" i="6"/>
  <c r="D14" i="6"/>
  <c r="C14" i="6"/>
  <c r="B14" i="6"/>
  <c r="J14" i="6"/>
  <c r="I13" i="6"/>
  <c r="H13" i="6"/>
  <c r="G13" i="6"/>
  <c r="F13" i="6"/>
  <c r="E13" i="6"/>
  <c r="D13" i="6"/>
  <c r="C13" i="6"/>
  <c r="B13" i="6"/>
  <c r="J13" i="6"/>
  <c r="I12" i="6"/>
  <c r="H12" i="6"/>
  <c r="G12" i="6"/>
  <c r="F12" i="6"/>
  <c r="E12" i="6"/>
  <c r="D12" i="6"/>
  <c r="C12" i="6"/>
  <c r="B12" i="6"/>
  <c r="I11" i="6"/>
  <c r="H11" i="6"/>
  <c r="G11" i="6"/>
  <c r="F11" i="6"/>
  <c r="E11" i="6"/>
  <c r="D11" i="6"/>
  <c r="C11" i="6"/>
  <c r="B11" i="6"/>
  <c r="J11" i="6"/>
  <c r="I10" i="6"/>
  <c r="H10" i="6"/>
  <c r="G10" i="6"/>
  <c r="F10" i="6"/>
  <c r="E10" i="6"/>
  <c r="D10" i="6"/>
  <c r="C10" i="6"/>
  <c r="B10" i="6"/>
  <c r="J10" i="6"/>
  <c r="I9" i="6"/>
  <c r="H9" i="6"/>
  <c r="G9" i="6"/>
  <c r="F9" i="6"/>
  <c r="E9" i="6"/>
  <c r="D9" i="6"/>
  <c r="C9" i="6"/>
  <c r="B9" i="6"/>
  <c r="J9" i="6"/>
  <c r="I8" i="6"/>
  <c r="H8" i="6"/>
  <c r="G8" i="6"/>
  <c r="F8" i="6"/>
  <c r="E8" i="6"/>
  <c r="D8" i="6"/>
  <c r="C8" i="6"/>
  <c r="B8" i="6"/>
  <c r="I7" i="6"/>
  <c r="H7" i="6"/>
  <c r="G7" i="6"/>
  <c r="F7" i="6"/>
  <c r="E7" i="6"/>
  <c r="D7" i="6"/>
  <c r="C7" i="6"/>
  <c r="B7" i="6"/>
  <c r="J7" i="6"/>
  <c r="I6" i="6"/>
  <c r="H6" i="6"/>
  <c r="G6" i="6"/>
  <c r="F6" i="6"/>
  <c r="E6" i="6"/>
  <c r="D6" i="6"/>
  <c r="C6" i="6"/>
  <c r="B6" i="6"/>
  <c r="J6" i="6"/>
  <c r="I5" i="6"/>
  <c r="H5" i="6"/>
  <c r="G5" i="6"/>
  <c r="F5" i="6"/>
  <c r="E5" i="6"/>
  <c r="C5" i="6"/>
  <c r="B5" i="6"/>
  <c r="J5" i="6"/>
  <c r="I4" i="6"/>
  <c r="H4" i="6"/>
  <c r="G4" i="6"/>
  <c r="F4" i="6"/>
  <c r="F16" i="6"/>
  <c r="E4" i="6"/>
  <c r="D4" i="6"/>
  <c r="C4" i="6"/>
  <c r="B4" i="6"/>
  <c r="B16" i="6"/>
  <c r="J8" i="6"/>
  <c r="J12" i="6"/>
  <c r="C16" i="6"/>
  <c r="D16" i="6"/>
  <c r="E16" i="6"/>
  <c r="G16" i="6"/>
  <c r="H16" i="6"/>
  <c r="I16" i="6"/>
  <c r="K15" i="5"/>
  <c r="L15" i="5"/>
  <c r="M15" i="5"/>
  <c r="M52" i="5"/>
  <c r="M54" i="5"/>
  <c r="K16" i="5"/>
  <c r="L16" i="5"/>
  <c r="M16" i="5"/>
  <c r="K17" i="5"/>
  <c r="M17" i="5"/>
  <c r="K18" i="5"/>
  <c r="L18" i="5"/>
  <c r="M18" i="5"/>
  <c r="K27" i="5"/>
  <c r="L27" i="5"/>
  <c r="M27" i="5"/>
  <c r="K31" i="5"/>
  <c r="K52" i="5"/>
  <c r="K54" i="5"/>
  <c r="L31" i="5"/>
  <c r="M31" i="5"/>
  <c r="K32" i="5"/>
  <c r="L32" i="5"/>
  <c r="L52" i="5"/>
  <c r="L54" i="5"/>
  <c r="M32" i="5"/>
  <c r="K44" i="5"/>
  <c r="L44" i="5"/>
  <c r="M44" i="5"/>
  <c r="N53" i="5"/>
  <c r="D5" i="2"/>
  <c r="B5" i="2"/>
  <c r="G12" i="2"/>
  <c r="F12" i="2"/>
  <c r="E12" i="2"/>
  <c r="D12" i="2"/>
  <c r="C12" i="2"/>
  <c r="B12" i="2"/>
  <c r="K5" i="2"/>
  <c r="J5" i="2"/>
  <c r="I5" i="2"/>
  <c r="H5" i="2"/>
  <c r="E5" i="2"/>
  <c r="F5" i="2"/>
  <c r="C5" i="2"/>
  <c r="J4" i="6"/>
  <c r="J16" i="6"/>
  <c r="D6" i="7"/>
  <c r="G53" i="8"/>
  <c r="B53" i="8"/>
  <c r="D16" i="7"/>
  <c r="F52" i="4"/>
  <c r="G52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4" i="4"/>
  <c r="D51" i="5"/>
  <c r="N51" i="5"/>
  <c r="D50" i="5"/>
  <c r="N50" i="5"/>
  <c r="D49" i="5"/>
  <c r="N49" i="5"/>
  <c r="D48" i="5"/>
  <c r="N48" i="5"/>
  <c r="D47" i="5"/>
  <c r="N47" i="5"/>
  <c r="D46" i="5"/>
  <c r="N46" i="5"/>
  <c r="D45" i="5"/>
  <c r="N45" i="5"/>
  <c r="D44" i="5"/>
  <c r="D43" i="5"/>
  <c r="N43" i="5"/>
  <c r="D42" i="5"/>
  <c r="N42" i="5"/>
  <c r="D41" i="5"/>
  <c r="N41" i="5"/>
  <c r="D40" i="5"/>
  <c r="N40" i="5"/>
  <c r="D39" i="5"/>
  <c r="N39" i="5"/>
  <c r="D38" i="5"/>
  <c r="N38" i="5"/>
  <c r="D37" i="5"/>
  <c r="N37" i="5"/>
  <c r="D36" i="5"/>
  <c r="N36" i="5"/>
  <c r="D35" i="5"/>
  <c r="N35" i="5"/>
  <c r="D34" i="5"/>
  <c r="N34" i="5"/>
  <c r="D33" i="5"/>
  <c r="N33" i="5"/>
  <c r="D32" i="5"/>
  <c r="D31" i="5"/>
  <c r="D30" i="5"/>
  <c r="N30" i="5"/>
  <c r="D29" i="5"/>
  <c r="N29" i="5"/>
  <c r="D28" i="5"/>
  <c r="N28" i="5"/>
  <c r="D27" i="5"/>
  <c r="D26" i="5"/>
  <c r="N26" i="5"/>
  <c r="D25" i="5"/>
  <c r="N25" i="5"/>
  <c r="D24" i="5"/>
  <c r="N24" i="5"/>
  <c r="D23" i="5"/>
  <c r="N23" i="5"/>
  <c r="D22" i="5"/>
  <c r="N22" i="5"/>
  <c r="D21" i="5"/>
  <c r="N21" i="5"/>
  <c r="D20" i="5"/>
  <c r="N20" i="5"/>
  <c r="D19" i="5"/>
  <c r="N19" i="5"/>
  <c r="D18" i="5"/>
  <c r="D17" i="5"/>
  <c r="D16" i="5"/>
  <c r="D15" i="5"/>
  <c r="D14" i="5"/>
  <c r="N14" i="5"/>
  <c r="D13" i="5"/>
  <c r="N13" i="5"/>
  <c r="D12" i="5"/>
  <c r="N12" i="5"/>
  <c r="D11" i="5"/>
  <c r="N11" i="5"/>
  <c r="D10" i="5"/>
  <c r="N10" i="5"/>
  <c r="D9" i="5"/>
  <c r="N9" i="5"/>
  <c r="D8" i="5"/>
  <c r="N8" i="5"/>
  <c r="D7" i="5"/>
  <c r="N7" i="5"/>
  <c r="D6" i="5"/>
  <c r="N6" i="5"/>
  <c r="D5" i="5"/>
  <c r="N5" i="5"/>
  <c r="J44" i="5"/>
  <c r="J32" i="5"/>
  <c r="J31" i="5"/>
  <c r="J27" i="5"/>
  <c r="J18" i="5"/>
  <c r="J17" i="5"/>
  <c r="J52" i="5"/>
  <c r="J54" i="5"/>
  <c r="J16" i="5"/>
  <c r="J15" i="5"/>
  <c r="I44" i="5"/>
  <c r="I32" i="5"/>
  <c r="I31" i="5"/>
  <c r="I27" i="5"/>
  <c r="I18" i="5"/>
  <c r="I17" i="5"/>
  <c r="I52" i="5"/>
  <c r="I54" i="5"/>
  <c r="I16" i="5"/>
  <c r="I15" i="5"/>
  <c r="H44" i="5"/>
  <c r="H32" i="5"/>
  <c r="H31" i="5"/>
  <c r="H27" i="5"/>
  <c r="H18" i="5"/>
  <c r="H17" i="5"/>
  <c r="H16" i="5"/>
  <c r="H15" i="5"/>
  <c r="G44" i="5"/>
  <c r="G32" i="5"/>
  <c r="G31" i="5"/>
  <c r="G27" i="5"/>
  <c r="G18" i="5"/>
  <c r="G17" i="5"/>
  <c r="G16" i="5"/>
  <c r="G15" i="5"/>
  <c r="G52" i="5"/>
  <c r="G54" i="5"/>
  <c r="F44" i="5"/>
  <c r="F32" i="5"/>
  <c r="N32" i="5"/>
  <c r="F31" i="5"/>
  <c r="F27" i="5"/>
  <c r="F18" i="5"/>
  <c r="F17" i="5"/>
  <c r="N17" i="5"/>
  <c r="F16" i="5"/>
  <c r="F15" i="5"/>
  <c r="E44" i="5"/>
  <c r="N44" i="5"/>
  <c r="E32" i="5"/>
  <c r="E31" i="5"/>
  <c r="N31" i="5"/>
  <c r="E27" i="5"/>
  <c r="N27" i="5"/>
  <c r="E18" i="5"/>
  <c r="N18" i="5"/>
  <c r="E17" i="5"/>
  <c r="E16" i="5"/>
  <c r="N16" i="5"/>
  <c r="E15" i="5"/>
  <c r="N15" i="5"/>
  <c r="C52" i="5"/>
  <c r="D52" i="5"/>
  <c r="D54" i="5"/>
  <c r="H52" i="5"/>
  <c r="H54" i="5"/>
  <c r="B52" i="5"/>
  <c r="B54" i="5"/>
  <c r="C54" i="5"/>
  <c r="I12" i="2"/>
  <c r="H12" i="2"/>
  <c r="D13" i="2"/>
  <c r="F13" i="2"/>
  <c r="B13" i="2"/>
  <c r="D6" i="2"/>
  <c r="F6" i="2"/>
  <c r="H6" i="2"/>
  <c r="J6" i="2"/>
  <c r="B6" i="2"/>
  <c r="B15" i="1"/>
  <c r="B14" i="1"/>
  <c r="B13" i="1"/>
  <c r="B12" i="1"/>
  <c r="D12" i="1"/>
  <c r="H12" i="1"/>
  <c r="B11" i="1"/>
  <c r="B10" i="1"/>
  <c r="B9" i="1"/>
  <c r="B8" i="1"/>
  <c r="D8" i="1"/>
  <c r="H8" i="1"/>
  <c r="B7" i="1"/>
  <c r="B6" i="1"/>
  <c r="G7" i="1"/>
  <c r="G8" i="1"/>
  <c r="G9" i="1"/>
  <c r="G10" i="1"/>
  <c r="G11" i="1"/>
  <c r="G12" i="1"/>
  <c r="G13" i="1"/>
  <c r="G14" i="1"/>
  <c r="G15" i="1"/>
  <c r="F6" i="1"/>
  <c r="F16" i="1"/>
  <c r="E6" i="1"/>
  <c r="E16" i="1"/>
  <c r="D7" i="1"/>
  <c r="H7" i="1"/>
  <c r="D9" i="1"/>
  <c r="H9" i="1"/>
  <c r="D10" i="1"/>
  <c r="H10" i="1"/>
  <c r="D11" i="1"/>
  <c r="D13" i="1"/>
  <c r="D14" i="1"/>
  <c r="H14" i="1"/>
  <c r="D15" i="1"/>
  <c r="C16" i="1"/>
  <c r="C6" i="1"/>
  <c r="H11" i="1"/>
  <c r="H13" i="1"/>
  <c r="H15" i="1"/>
  <c r="G6" i="1"/>
  <c r="G5" i="1"/>
  <c r="G4" i="1"/>
  <c r="D5" i="1"/>
  <c r="H5" i="1"/>
  <c r="D4" i="1"/>
  <c r="H4" i="1"/>
  <c r="B4" i="1"/>
  <c r="G16" i="1"/>
  <c r="N52" i="5"/>
  <c r="N54" i="5"/>
  <c r="E52" i="5"/>
  <c r="E54" i="5"/>
  <c r="F52" i="5"/>
  <c r="F54" i="5"/>
  <c r="H13" i="2"/>
  <c r="B16" i="1"/>
  <c r="D6" i="1"/>
  <c r="H6" i="1"/>
  <c r="D16" i="1"/>
  <c r="B17" i="1"/>
  <c r="D14" i="2"/>
  <c r="J7" i="2"/>
  <c r="F7" i="2"/>
  <c r="D7" i="2"/>
  <c r="I14" i="2"/>
  <c r="F14" i="2"/>
  <c r="B14" i="2"/>
  <c r="H7" i="2"/>
  <c r="B7" i="2"/>
  <c r="H14" i="2"/>
  <c r="C51" i="8"/>
  <c r="H16" i="1"/>
  <c r="D17" i="1"/>
  <c r="C17" i="1"/>
  <c r="C53" i="8"/>
  <c r="J53" i="8"/>
  <c r="J51" i="8"/>
</calcChain>
</file>

<file path=xl/sharedStrings.xml><?xml version="1.0" encoding="utf-8"?>
<sst xmlns="http://schemas.openxmlformats.org/spreadsheetml/2006/main" count="540" uniqueCount="314">
  <si>
    <t>２．旅券月別・種類別発行数</t>
  </si>
  <si>
    <t>　　種別　　　　　　月別</t>
  </si>
  <si>
    <t>一般旅券</t>
  </si>
  <si>
    <t>公用旅券</t>
  </si>
  <si>
    <t>合計</t>
  </si>
  <si>
    <t>5年</t>
  </si>
  <si>
    <t>10年</t>
  </si>
  <si>
    <t>小計</t>
  </si>
  <si>
    <t>外交旅券</t>
  </si>
  <si>
    <t>計</t>
  </si>
  <si>
    <t>年代別</t>
  </si>
  <si>
    <t>19才以下</t>
  </si>
  <si>
    <t>20～29才</t>
  </si>
  <si>
    <t>30～39才</t>
  </si>
  <si>
    <t>40～49才</t>
  </si>
  <si>
    <t>50～59才</t>
  </si>
  <si>
    <t>性別</t>
  </si>
  <si>
    <t>男</t>
  </si>
  <si>
    <t>女</t>
  </si>
  <si>
    <t>人数</t>
  </si>
  <si>
    <t>60～69才</t>
  </si>
  <si>
    <t>70～79才</t>
  </si>
  <si>
    <t>80才以上</t>
  </si>
  <si>
    <t>３．一般旅券年代別・性別発行数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</si>
  <si>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</si>
  <si>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</si>
  <si>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</si>
  <si>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</si>
  <si>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</si>
  <si>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</si>
  <si>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</si>
  <si>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</si>
  <si>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</si>
  <si>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</si>
  <si>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</si>
  <si>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</si>
  <si>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</si>
  <si>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</si>
  <si>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</si>
  <si>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</si>
  <si>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</si>
  <si>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</si>
  <si>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</si>
  <si>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</si>
  <si>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</si>
  <si>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</si>
  <si>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</si>
  <si>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</si>
  <si>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</si>
  <si>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</si>
  <si>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</si>
  <si>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</si>
  <si>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</si>
  <si>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</si>
  <si>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</si>
  <si>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</si>
  <si>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</si>
  <si>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</si>
  <si>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</si>
  <si>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</si>
  <si>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</si>
  <si>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</si>
  <si>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</si>
  <si>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</si>
  <si>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</si>
  <si>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</si>
  <si>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</si>
  <si>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</si>
  <si>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</si>
  <si>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</si>
  <si>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</si>
  <si>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外務省</t>
  </si>
  <si>
    <t>６．一般旅券月別・都道府県別発行数</t>
    <rPh sb="2" eb="4">
      <t>イッパン</t>
    </rPh>
    <rPh sb="4" eb="6">
      <t>リョケン</t>
    </rPh>
    <rPh sb="6" eb="8">
      <t>ツキベツ</t>
    </rPh>
    <rPh sb="9" eb="13">
      <t>トドウフケン</t>
    </rPh>
    <rPh sb="13" eb="14">
      <t>ベツ</t>
    </rPh>
    <rPh sb="14" eb="17">
      <t>ハッコウスウ</t>
    </rPh>
    <phoneticPr fontId="5"/>
  </si>
  <si>
    <t>７．都道府県別一般旅券発行数</t>
  </si>
  <si>
    <t>都道府県名</t>
  </si>
  <si>
    <t>平成23年</t>
  </si>
  <si>
    <t>平成24年</t>
  </si>
  <si>
    <t>一般旅券発行数</t>
  </si>
  <si>
    <t>対前年比</t>
  </si>
  <si>
    <t>平成25年</t>
    <phoneticPr fontId="5"/>
  </si>
  <si>
    <t>比率</t>
    <rPh sb="0" eb="2">
      <t>ヒリツ</t>
    </rPh>
    <phoneticPr fontId="5"/>
  </si>
  <si>
    <t>４．一般旅券年代別・月別発行数</t>
  </si>
  <si>
    <t>計</t>
    <rPh sb="0" eb="1">
      <t>ケイ</t>
    </rPh>
    <phoneticPr fontId="5"/>
  </si>
  <si>
    <t>５．一般旅券性別・月別発行数</t>
  </si>
  <si>
    <t>合計</t>
    <rPh sb="0" eb="2">
      <t>ゴウケイ</t>
    </rPh>
    <phoneticPr fontId="5"/>
  </si>
  <si>
    <t>８．一般旅券年代別・都道府県別発行数</t>
    <rPh sb="2" eb="4">
      <t>イッパン</t>
    </rPh>
    <rPh sb="4" eb="6">
      <t>リョケン</t>
    </rPh>
    <rPh sb="6" eb="9">
      <t>ネンダイベツ</t>
    </rPh>
    <rPh sb="10" eb="14">
      <t>トドウフケン</t>
    </rPh>
    <rPh sb="14" eb="15">
      <t>ベツ</t>
    </rPh>
    <rPh sb="15" eb="18">
      <t>ハッコウスウ</t>
    </rPh>
    <phoneticPr fontId="5"/>
  </si>
  <si>
    <t>5年旅券</t>
  </si>
  <si>
    <t>10年旅券</t>
  </si>
  <si>
    <t>北海道庁</t>
  </si>
  <si>
    <t>青森県庁</t>
  </si>
  <si>
    <t>岩手県庁</t>
  </si>
  <si>
    <t>宮城県庁</t>
  </si>
  <si>
    <t>秋田県庁</t>
  </si>
  <si>
    <t>山形県庁</t>
  </si>
  <si>
    <t>福島県庁</t>
  </si>
  <si>
    <t>茨城県庁</t>
  </si>
  <si>
    <t>栃木県庁</t>
  </si>
  <si>
    <t>群馬県庁</t>
  </si>
  <si>
    <t>埼玉県庁</t>
  </si>
  <si>
    <t>川越分室</t>
  </si>
  <si>
    <t>春日部分室</t>
  </si>
  <si>
    <t>千葉県庁</t>
  </si>
  <si>
    <t>東葛飾分室</t>
  </si>
  <si>
    <t>東京都庁</t>
  </si>
  <si>
    <t>有楽町分室</t>
  </si>
  <si>
    <t>立川分室</t>
  </si>
  <si>
    <t>池袋分室</t>
  </si>
  <si>
    <t>神奈川県庁</t>
  </si>
  <si>
    <t>厚木分室</t>
  </si>
  <si>
    <t>川崎分室</t>
  </si>
  <si>
    <t>新潟県庁</t>
  </si>
  <si>
    <t>富山県庁</t>
  </si>
  <si>
    <t>石川県庁</t>
  </si>
  <si>
    <t>福井県庁</t>
  </si>
  <si>
    <t>山梨県庁</t>
  </si>
  <si>
    <t>長野県庁</t>
  </si>
  <si>
    <t>岐阜県庁</t>
  </si>
  <si>
    <t>静岡県庁</t>
  </si>
  <si>
    <t>愛知県庁</t>
  </si>
  <si>
    <t>豊橋分室</t>
  </si>
  <si>
    <t>三重県庁</t>
  </si>
  <si>
    <t>滋賀県庁</t>
  </si>
  <si>
    <t>京都府庁</t>
  </si>
  <si>
    <t>大阪府庁</t>
  </si>
  <si>
    <t>阿倍野分室</t>
  </si>
  <si>
    <t>りんくう分室</t>
  </si>
  <si>
    <t>兵庫県庁</t>
  </si>
  <si>
    <t>尼崎分室</t>
  </si>
  <si>
    <t>奈良県庁</t>
  </si>
  <si>
    <t>和歌山県庁</t>
  </si>
  <si>
    <t>鳥取県庁</t>
  </si>
  <si>
    <t>島根県庁</t>
  </si>
  <si>
    <t>岡山県庁</t>
  </si>
  <si>
    <t>広島県庁</t>
  </si>
  <si>
    <t>山口県庁</t>
  </si>
  <si>
    <t>徳島県庁</t>
  </si>
  <si>
    <t>香川県庁</t>
  </si>
  <si>
    <t>愛媛県庁</t>
  </si>
  <si>
    <t>高知県庁</t>
  </si>
  <si>
    <t>福岡県庁</t>
  </si>
  <si>
    <t>北九州分室</t>
  </si>
  <si>
    <t>佐賀県庁</t>
  </si>
  <si>
    <t>長崎県庁</t>
  </si>
  <si>
    <t>熊本県庁</t>
  </si>
  <si>
    <t>大分県庁</t>
  </si>
  <si>
    <t>宮崎県庁</t>
  </si>
  <si>
    <t>鹿児島県庁</t>
  </si>
  <si>
    <t>沖縄県庁</t>
  </si>
  <si>
    <t>（注１）</t>
  </si>
  <si>
    <t>事務所名は、発行地となります。</t>
  </si>
  <si>
    <t>（注２）</t>
  </si>
  <si>
    <t>北海道</t>
    <phoneticPr fontId="5"/>
  </si>
  <si>
    <t>70～79才</t>
    <rPh sb="5" eb="6">
      <t>サイ</t>
    </rPh>
    <phoneticPr fontId="5"/>
  </si>
  <si>
    <t>80～80才</t>
    <rPh sb="5" eb="6">
      <t>サイ</t>
    </rPh>
    <phoneticPr fontId="5"/>
  </si>
  <si>
    <t>種別暦年</t>
  </si>
  <si>
    <t>海外渡航者</t>
  </si>
  <si>
    <t>数次往復</t>
  </si>
  <si>
    <t>一往復・限定</t>
  </si>
  <si>
    <t>外交</t>
  </si>
  <si>
    <t>公用</t>
  </si>
  <si>
    <t>昭和２１年</t>
  </si>
  <si>
    <t>－</t>
  </si>
  <si>
    <t>-</t>
  </si>
  <si>
    <t>平成元年</t>
  </si>
  <si>
    <t>１０．戦後の旅券発行数及び海外渡航者数</t>
    <rPh sb="3" eb="5">
      <t>センゴ</t>
    </rPh>
    <rPh sb="6" eb="8">
      <t>リョケン</t>
    </rPh>
    <rPh sb="8" eb="11">
      <t>ハッコウスウ</t>
    </rPh>
    <rPh sb="11" eb="12">
      <t>オヨ</t>
    </rPh>
    <rPh sb="13" eb="15">
      <t>カイガイ</t>
    </rPh>
    <rPh sb="15" eb="18">
      <t>トコウシャ</t>
    </rPh>
    <rPh sb="18" eb="19">
      <t>スウ</t>
    </rPh>
    <phoneticPr fontId="5"/>
  </si>
  <si>
    <t>*平成25年の海外渡航者数は、暫定値</t>
    <phoneticPr fontId="5"/>
  </si>
  <si>
    <t>９．有効旅券数一覧（平成25年12月31日現在）</t>
    <rPh sb="2" eb="4">
      <t>ユウコウ</t>
    </rPh>
    <rPh sb="4" eb="6">
      <t>リョケン</t>
    </rPh>
    <rPh sb="6" eb="7">
      <t>カズ</t>
    </rPh>
    <rPh sb="7" eb="9">
      <t>イチラン</t>
    </rPh>
    <rPh sb="10" eb="12">
      <t>ヘイセイ</t>
    </rPh>
    <rPh sb="14" eb="15">
      <t>ネン</t>
    </rPh>
    <rPh sb="17" eb="18">
      <t>ガツ</t>
    </rPh>
    <rPh sb="20" eb="21">
      <t>ニチ</t>
    </rPh>
    <rPh sb="21" eb="23">
      <t>ゲンザイ</t>
    </rPh>
    <phoneticPr fontId="5"/>
  </si>
  <si>
    <t>事務所名の「外務省」とは、我が国在外公館及び外務省旅券課で発行された数です（公用旅券を含む）。</t>
    <rPh sb="29" eb="31">
      <t>ハッコウ</t>
    </rPh>
    <rPh sb="34" eb="35">
      <t>カズ</t>
    </rPh>
    <rPh sb="38" eb="40">
      <t>コウヨウ</t>
    </rPh>
    <rPh sb="40" eb="42">
      <t>リョケン</t>
    </rPh>
    <rPh sb="43" eb="44">
      <t>フク</t>
    </rPh>
    <phoneticPr fontId="5"/>
  </si>
  <si>
    <t>１１．一般旅券の紛失・盗難件数</t>
  </si>
  <si>
    <t>２００８年</t>
  </si>
  <si>
    <t>（H２０年）</t>
  </si>
  <si>
    <t>２００９年</t>
  </si>
  <si>
    <t>（H２１年）</t>
  </si>
  <si>
    <t>２０１０年</t>
  </si>
  <si>
    <t>（H２２年）</t>
  </si>
  <si>
    <t>２０１１年</t>
  </si>
  <si>
    <t>（H２３年）</t>
  </si>
  <si>
    <t>２０１２年</t>
  </si>
  <si>
    <t>（H２４年）</t>
  </si>
  <si>
    <t>２０１３年</t>
  </si>
  <si>
    <t>（H２５年）</t>
  </si>
  <si>
    <t>　　　　　暦年　　　発生地</t>
  </si>
  <si>
    <t>２００７年</t>
  </si>
  <si>
    <t>（H１９年）</t>
  </si>
  <si>
    <t>国内</t>
  </si>
  <si>
    <t>国外</t>
  </si>
  <si>
    <t>１２．国外における一般旅券の不正使用件数</t>
  </si>
  <si>
    <t>215(448)</t>
  </si>
  <si>
    <t>173(313)</t>
  </si>
  <si>
    <t>138(223)</t>
  </si>
  <si>
    <t>86（196）</t>
  </si>
  <si>
    <t>46（92）</t>
  </si>
  <si>
    <t>52(114)</t>
  </si>
  <si>
    <t>47(65)</t>
  </si>
  <si>
    <t>欧州</t>
  </si>
  <si>
    <t>142(294)</t>
  </si>
  <si>
    <t>100(174)</t>
  </si>
  <si>
    <t>54(78)</t>
  </si>
  <si>
    <t>31（57）</t>
  </si>
  <si>
    <t>23（45）</t>
  </si>
  <si>
    <t>27(52)</t>
  </si>
  <si>
    <t>20(31)</t>
  </si>
  <si>
    <t>アジア</t>
  </si>
  <si>
    <t>37(75)</t>
  </si>
  <si>
    <t>32(58)</t>
  </si>
  <si>
    <t>19(31)</t>
  </si>
  <si>
    <t>16（24）</t>
  </si>
  <si>
    <t>6（6）</t>
  </si>
  <si>
    <t>13(16)</t>
  </si>
  <si>
    <t>12(17)</t>
  </si>
  <si>
    <t>北米</t>
  </si>
  <si>
    <t>6(11)</t>
  </si>
  <si>
    <t>14(24)</t>
  </si>
  <si>
    <t>27(40)</t>
  </si>
  <si>
    <t>21（33）</t>
  </si>
  <si>
    <t>13（30）</t>
  </si>
  <si>
    <t>4(15)</t>
  </si>
  <si>
    <t>8(8)</t>
  </si>
  <si>
    <t>中南米</t>
  </si>
  <si>
    <t>8(17)</t>
  </si>
  <si>
    <t>14(31)</t>
  </si>
  <si>
    <t>19(36)</t>
  </si>
  <si>
    <t>13（60）</t>
  </si>
  <si>
    <t>4（11）</t>
  </si>
  <si>
    <t>5(18)</t>
  </si>
  <si>
    <t>3(5)</t>
  </si>
  <si>
    <t>（H１９年）</t>
    <phoneticPr fontId="5"/>
  </si>
  <si>
    <t>（H２０年）</t>
    <phoneticPr fontId="5"/>
  </si>
  <si>
    <t>（H２１年）</t>
    <phoneticPr fontId="5"/>
  </si>
  <si>
    <t>（H２２年）</t>
    <phoneticPr fontId="5"/>
  </si>
  <si>
    <t>（H２３年）</t>
    <phoneticPr fontId="5"/>
  </si>
  <si>
    <t>（H２５年）</t>
    <phoneticPr fontId="5"/>
  </si>
  <si>
    <t>２０１２年　</t>
    <phoneticPr fontId="5"/>
  </si>
  <si>
    <t>（Ｈ２４年）</t>
  </si>
  <si>
    <t>２００７年</t>
    <phoneticPr fontId="5"/>
  </si>
  <si>
    <t>２００８年</t>
    <phoneticPr fontId="5"/>
  </si>
  <si>
    <t>２００９年</t>
    <phoneticPr fontId="5"/>
  </si>
  <si>
    <t>２０１０年</t>
    <phoneticPr fontId="5"/>
  </si>
  <si>
    <t>２０１１年</t>
    <phoneticPr fontId="5"/>
  </si>
  <si>
    <t>２０１３年</t>
    <rPh sb="4" eb="5">
      <t>ネン</t>
    </rPh>
    <phoneticPr fontId="5"/>
  </si>
  <si>
    <t>注　（　）内は冊数</t>
    <rPh sb="0" eb="1">
      <t>チュウ</t>
    </rPh>
    <rPh sb="5" eb="6">
      <t>ウチ</t>
    </rPh>
    <rPh sb="7" eb="9">
      <t>サッスウ</t>
    </rPh>
    <phoneticPr fontId="5"/>
  </si>
  <si>
    <t>平成</t>
    <rPh sb="0" eb="2">
      <t>ヘイセイ</t>
    </rPh>
    <phoneticPr fontId="22"/>
  </si>
  <si>
    <t>発行数</t>
    <rPh sb="0" eb="3">
      <t>ハッコウスウ</t>
    </rPh>
    <phoneticPr fontId="22"/>
  </si>
  <si>
    <t>元年</t>
    <rPh sb="0" eb="2">
      <t>ガンネン</t>
    </rPh>
    <phoneticPr fontId="22"/>
  </si>
  <si>
    <t>元</t>
    <rPh sb="0" eb="1">
      <t>モト</t>
    </rPh>
    <phoneticPr fontId="22"/>
  </si>
  <si>
    <t>　　　一般旅券の紛失・盗難件数</t>
    <rPh sb="3" eb="5">
      <t>イッパン</t>
    </rPh>
    <rPh sb="5" eb="7">
      <t>リョケン</t>
    </rPh>
    <rPh sb="8" eb="10">
      <t>フンシツ</t>
    </rPh>
    <rPh sb="11" eb="13">
      <t>トウナン</t>
    </rPh>
    <rPh sb="13" eb="15">
      <t>ケンスウ</t>
    </rPh>
    <phoneticPr fontId="22"/>
  </si>
  <si>
    <t>１９８９年
（H元年）</t>
    <rPh sb="4" eb="5">
      <t>ネン</t>
    </rPh>
    <rPh sb="8" eb="9">
      <t>ガン</t>
    </rPh>
    <rPh sb="9" eb="10">
      <t>ネン</t>
    </rPh>
    <phoneticPr fontId="22"/>
  </si>
  <si>
    <t>１９９０年
（H２年）</t>
    <rPh sb="4" eb="5">
      <t>ネン</t>
    </rPh>
    <rPh sb="9" eb="10">
      <t>ネン</t>
    </rPh>
    <phoneticPr fontId="22"/>
  </si>
  <si>
    <t>１９９１年
（H３年）</t>
    <rPh sb="4" eb="5">
      <t>ネン</t>
    </rPh>
    <rPh sb="9" eb="10">
      <t>ネン</t>
    </rPh>
    <phoneticPr fontId="22"/>
  </si>
  <si>
    <t>１９９２年
（H４年）</t>
    <rPh sb="4" eb="5">
      <t>ネン</t>
    </rPh>
    <rPh sb="9" eb="10">
      <t>ネン</t>
    </rPh>
    <phoneticPr fontId="22"/>
  </si>
  <si>
    <t>１９９３年
（H５年）</t>
    <rPh sb="4" eb="5">
      <t>ネン</t>
    </rPh>
    <rPh sb="9" eb="10">
      <t>ネン</t>
    </rPh>
    <phoneticPr fontId="22"/>
  </si>
  <si>
    <t>１９９４年
（H６年）</t>
    <rPh sb="4" eb="5">
      <t>ネン</t>
    </rPh>
    <rPh sb="9" eb="10">
      <t>ネン</t>
    </rPh>
    <phoneticPr fontId="22"/>
  </si>
  <si>
    <t>１９９５年
（H７年）</t>
    <rPh sb="4" eb="5">
      <t>ネン</t>
    </rPh>
    <rPh sb="9" eb="10">
      <t>ネン</t>
    </rPh>
    <phoneticPr fontId="22"/>
  </si>
  <si>
    <t>１９９６年
（H８年）</t>
    <rPh sb="4" eb="5">
      <t>ネン</t>
    </rPh>
    <rPh sb="9" eb="10">
      <t>ネン</t>
    </rPh>
    <phoneticPr fontId="22"/>
  </si>
  <si>
    <t>１９９７年
（H９年）</t>
    <rPh sb="4" eb="5">
      <t>ネン</t>
    </rPh>
    <rPh sb="9" eb="10">
      <t>ネン</t>
    </rPh>
    <phoneticPr fontId="22"/>
  </si>
  <si>
    <t>１９９８年
（H１０年）</t>
    <rPh sb="4" eb="5">
      <t>ネン</t>
    </rPh>
    <rPh sb="10" eb="11">
      <t>ネン</t>
    </rPh>
    <phoneticPr fontId="22"/>
  </si>
  <si>
    <t>１９９９年
（H１１年）</t>
    <rPh sb="4" eb="5">
      <t>ネン</t>
    </rPh>
    <rPh sb="10" eb="11">
      <t>ネン</t>
    </rPh>
    <phoneticPr fontId="22"/>
  </si>
  <si>
    <t>２０００年
（H１２年）</t>
    <rPh sb="4" eb="5">
      <t>ネン</t>
    </rPh>
    <rPh sb="10" eb="11">
      <t>ネン</t>
    </rPh>
    <phoneticPr fontId="22"/>
  </si>
  <si>
    <t>２００１年
（H１３年）</t>
    <rPh sb="4" eb="5">
      <t>ネン</t>
    </rPh>
    <rPh sb="10" eb="11">
      <t>ネン</t>
    </rPh>
    <phoneticPr fontId="22"/>
  </si>
  <si>
    <t>２００２年
（H１４年）</t>
    <rPh sb="4" eb="5">
      <t>ネン</t>
    </rPh>
    <rPh sb="10" eb="11">
      <t>ネン</t>
    </rPh>
    <phoneticPr fontId="22"/>
  </si>
  <si>
    <t>２００３年
（H１５年）</t>
    <rPh sb="4" eb="5">
      <t>ネン</t>
    </rPh>
    <rPh sb="10" eb="11">
      <t>ネン</t>
    </rPh>
    <phoneticPr fontId="22"/>
  </si>
  <si>
    <t>２００４年
（H１６年）</t>
    <rPh sb="4" eb="5">
      <t>ネン</t>
    </rPh>
    <rPh sb="10" eb="11">
      <t>ネン</t>
    </rPh>
    <phoneticPr fontId="22"/>
  </si>
  <si>
    <t>２００５年
（H１７年）</t>
    <rPh sb="4" eb="5">
      <t>ネン</t>
    </rPh>
    <rPh sb="10" eb="11">
      <t>ネン</t>
    </rPh>
    <phoneticPr fontId="22"/>
  </si>
  <si>
    <t>２００６年
（H１８年）</t>
    <rPh sb="4" eb="5">
      <t>ネン</t>
    </rPh>
    <rPh sb="10" eb="11">
      <t>ネン</t>
    </rPh>
    <phoneticPr fontId="22"/>
  </si>
  <si>
    <t>２００７年
（H１９年）</t>
    <rPh sb="4" eb="5">
      <t>ネン</t>
    </rPh>
    <rPh sb="10" eb="11">
      <t>ネン</t>
    </rPh>
    <phoneticPr fontId="22"/>
  </si>
  <si>
    <t>２００８年
（H２０年）</t>
    <rPh sb="4" eb="5">
      <t>ネン</t>
    </rPh>
    <rPh sb="10" eb="11">
      <t>ネン</t>
    </rPh>
    <phoneticPr fontId="22"/>
  </si>
  <si>
    <t>２００９年
（H２１年）</t>
    <rPh sb="4" eb="5">
      <t>ネン</t>
    </rPh>
    <rPh sb="10" eb="11">
      <t>ネン</t>
    </rPh>
    <phoneticPr fontId="22"/>
  </si>
  <si>
    <t>２０１０年
（H２２年）</t>
    <rPh sb="4" eb="5">
      <t>ネン</t>
    </rPh>
    <rPh sb="10" eb="11">
      <t>ネン</t>
    </rPh>
    <phoneticPr fontId="22"/>
  </si>
  <si>
    <t>２０１１年
（H２３年）</t>
    <rPh sb="4" eb="5">
      <t>ネン</t>
    </rPh>
    <rPh sb="10" eb="11">
      <t>ネン</t>
    </rPh>
    <phoneticPr fontId="22"/>
  </si>
  <si>
    <t>２０１２年
（H２４年）</t>
    <rPh sb="4" eb="5">
      <t>ネン</t>
    </rPh>
    <rPh sb="10" eb="11">
      <t>ネン</t>
    </rPh>
    <phoneticPr fontId="22"/>
  </si>
  <si>
    <t>２年</t>
    <rPh sb="1" eb="2">
      <t>ネン</t>
    </rPh>
    <phoneticPr fontId="22"/>
  </si>
  <si>
    <t>３年</t>
    <rPh sb="1" eb="2">
      <t>ネン</t>
    </rPh>
    <phoneticPr fontId="22"/>
  </si>
  <si>
    <t>４年</t>
    <rPh sb="1" eb="2">
      <t>ネン</t>
    </rPh>
    <phoneticPr fontId="22"/>
  </si>
  <si>
    <t>５年</t>
    <rPh sb="1" eb="2">
      <t>ネン</t>
    </rPh>
    <phoneticPr fontId="22"/>
  </si>
  <si>
    <t>６年</t>
    <rPh sb="1" eb="2">
      <t>ネン</t>
    </rPh>
    <phoneticPr fontId="22"/>
  </si>
  <si>
    <t>７年</t>
    <rPh sb="1" eb="2">
      <t>ネン</t>
    </rPh>
    <phoneticPr fontId="22"/>
  </si>
  <si>
    <t>８年</t>
    <rPh sb="1" eb="2">
      <t>ネン</t>
    </rPh>
    <phoneticPr fontId="22"/>
  </si>
  <si>
    <t>９年</t>
    <rPh sb="1" eb="2">
      <t>ネン</t>
    </rPh>
    <phoneticPr fontId="22"/>
  </si>
  <si>
    <t>１０年</t>
    <rPh sb="2" eb="3">
      <t>ネン</t>
    </rPh>
    <phoneticPr fontId="22"/>
  </si>
  <si>
    <t>１１年</t>
    <rPh sb="2" eb="3">
      <t>ネン</t>
    </rPh>
    <phoneticPr fontId="22"/>
  </si>
  <si>
    <t>１２年</t>
    <rPh sb="2" eb="3">
      <t>ネン</t>
    </rPh>
    <phoneticPr fontId="22"/>
  </si>
  <si>
    <t>１３年</t>
    <rPh sb="2" eb="3">
      <t>ネン</t>
    </rPh>
    <phoneticPr fontId="22"/>
  </si>
  <si>
    <t>１４年</t>
    <rPh sb="2" eb="3">
      <t>ネン</t>
    </rPh>
    <phoneticPr fontId="22"/>
  </si>
  <si>
    <t>１５年</t>
    <rPh sb="2" eb="3">
      <t>ネン</t>
    </rPh>
    <phoneticPr fontId="22"/>
  </si>
  <si>
    <t>１６年</t>
    <rPh sb="2" eb="3">
      <t>ネン</t>
    </rPh>
    <phoneticPr fontId="22"/>
  </si>
  <si>
    <t>１７年</t>
    <rPh sb="2" eb="3">
      <t>ネン</t>
    </rPh>
    <phoneticPr fontId="22"/>
  </si>
  <si>
    <t>１８年</t>
    <rPh sb="2" eb="3">
      <t>ネン</t>
    </rPh>
    <phoneticPr fontId="22"/>
  </si>
  <si>
    <t>１９年</t>
    <rPh sb="2" eb="3">
      <t>ネン</t>
    </rPh>
    <phoneticPr fontId="22"/>
  </si>
  <si>
    <t>２０年</t>
    <rPh sb="2" eb="3">
      <t>ネン</t>
    </rPh>
    <phoneticPr fontId="22"/>
  </si>
  <si>
    <t>２１年</t>
    <rPh sb="2" eb="3">
      <t>ネン</t>
    </rPh>
    <phoneticPr fontId="22"/>
  </si>
  <si>
    <t>２２年</t>
    <rPh sb="2" eb="3">
      <t>ネン</t>
    </rPh>
    <phoneticPr fontId="22"/>
  </si>
  <si>
    <t>２３年</t>
    <rPh sb="2" eb="3">
      <t>ネン</t>
    </rPh>
    <phoneticPr fontId="22"/>
  </si>
  <si>
    <t>２４年</t>
    <rPh sb="2" eb="3">
      <t>ネン</t>
    </rPh>
    <phoneticPr fontId="22"/>
  </si>
  <si>
    <t>合計</t>
    <rPh sb="0" eb="2">
      <t>ゴウケイ</t>
    </rPh>
    <phoneticPr fontId="22"/>
  </si>
  <si>
    <t>国内紛失・盗難件数</t>
    <rPh sb="0" eb="2">
      <t>コクナイ</t>
    </rPh>
    <rPh sb="2" eb="4">
      <t>フンシツ</t>
    </rPh>
    <rPh sb="5" eb="7">
      <t>トウナン</t>
    </rPh>
    <rPh sb="7" eb="9">
      <t>ケンスウ</t>
    </rPh>
    <phoneticPr fontId="22"/>
  </si>
  <si>
    <t>国外紛失・盗難件数</t>
    <rPh sb="0" eb="2">
      <t>コクガイ</t>
    </rPh>
    <rPh sb="2" eb="4">
      <t>フンシツ</t>
    </rPh>
    <rPh sb="5" eb="7">
      <t>トウナン</t>
    </rPh>
    <rPh sb="7" eb="9">
      <t>ケンスウ</t>
    </rPh>
    <phoneticPr fontId="22"/>
  </si>
  <si>
    <t>　　　暦年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発生地</t>
    <rPh sb="3" eb="5">
      <t>レキネン</t>
    </rPh>
    <rPh sb="128" eb="131">
      <t>ハッセイチ</t>
    </rPh>
    <phoneticPr fontId="22"/>
  </si>
  <si>
    <t>２５年</t>
    <rPh sb="2" eb="3">
      <t>ネン</t>
    </rPh>
    <phoneticPr fontId="5"/>
  </si>
  <si>
    <t>２０１３年
（H２５年）</t>
    <rPh sb="4" eb="5">
      <t>ネン</t>
    </rPh>
    <rPh sb="10" eb="11">
      <t>ネン</t>
    </rPh>
    <phoneticPr fontId="22"/>
  </si>
  <si>
    <t>比率</t>
    <rPh sb="0" eb="2">
      <t>ヒリツ</t>
    </rPh>
    <phoneticPr fontId="5"/>
  </si>
  <si>
    <t>中東・アフリカ</t>
    <rPh sb="0" eb="2">
      <t>チュウトウ</t>
    </rPh>
    <phoneticPr fontId="5"/>
  </si>
  <si>
    <t>大洋州</t>
    <rPh sb="0" eb="3">
      <t>タイヨウシュウ</t>
    </rPh>
    <phoneticPr fontId="5"/>
  </si>
  <si>
    <t>22(51)</t>
    <phoneticPr fontId="5"/>
  </si>
  <si>
    <t>0(0)</t>
    <phoneticPr fontId="5"/>
  </si>
  <si>
    <t>12(25)</t>
    <phoneticPr fontId="5"/>
  </si>
  <si>
    <t>1(1)</t>
    <phoneticPr fontId="5"/>
  </si>
  <si>
    <t>18(37)</t>
    <phoneticPr fontId="5"/>
  </si>
  <si>
    <t>5(22)</t>
    <phoneticPr fontId="5"/>
  </si>
  <si>
    <t>3(13)</t>
    <phoneticPr fontId="5"/>
  </si>
  <si>
    <t>4(4)</t>
    <phoneticPr fontId="5"/>
  </si>
  <si>
    <t>　　　　暦年　　　　　　　　　　　　　　　　　　発生地</t>
    <rPh sb="24" eb="27">
      <t>ハッセイチ</t>
    </rPh>
    <phoneticPr fontId="5"/>
  </si>
  <si>
    <t xml:space="preserve">      年代別  月別</t>
    <phoneticPr fontId="5"/>
  </si>
  <si>
    <t>　　　 年代別　月別</t>
    <phoneticPr fontId="5"/>
  </si>
  <si>
    <t>　　　　 　　　年令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都道府県</t>
    <rPh sb="120" eb="124">
      <t>トドウフケン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</si>
</sst>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&quot;-&quot;#,##0"/>
    <numFmt numFmtId="179" formatCode="0.0%"/>
  </numFmts>
  <fonts count="42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2"/>
      <charset val="128"/>
    </font>
    <font>
      <sz val="1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98">
    <xf numFmtId="0" fontId="0" fillId="0" borderId="0" xfId="0">
      <alignment vertical="center"/>
    </xf>
    <xf numFmtId="3" fontId="14" fillId="0" borderId="1" xfId="0" applyNumberFormat="1" applyFont="1" applyBorder="1" applyAlignment="1">
      <alignment vertical="center"/>
    </xf>
    <xf numFmtId="0" fontId="15" fillId="0" borderId="0" xfId="0" applyFont="1">
      <alignment vertical="center"/>
    </xf>
    <xf numFmtId="49" fontId="9" fillId="0" borderId="0" xfId="0" applyNumberFormat="1" applyFont="1" applyAlignment="1">
      <alignment horizontal="left" vertical="top"/>
    </xf>
    <xf numFmtId="0" fontId="4" fillId="0" borderId="0" xfId="0" applyFo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78" fontId="19" fillId="0" borderId="1" xfId="0" quotePrefix="1" applyNumberFormat="1" applyFont="1" applyBorder="1" applyAlignment="1">
      <alignment horizontal="right" vertical="center"/>
    </xf>
    <xf numFmtId="178" fontId="19" fillId="0" borderId="3" xfId="0" quotePrefix="1" applyNumberFormat="1" applyFont="1" applyBorder="1" applyAlignment="1">
      <alignment horizontal="right" vertical="center"/>
    </xf>
    <xf numFmtId="178" fontId="19" fillId="0" borderId="3" xfId="0" quotePrefix="1" applyNumberFormat="1" applyFont="1" applyBorder="1" applyAlignment="1">
      <alignment horizontal="right" vertical="top"/>
    </xf>
    <xf numFmtId="3" fontId="14" fillId="0" borderId="1" xfId="0" applyNumberFormat="1" applyFont="1" applyBorder="1" applyAlignment="1">
      <alignment horizontal="right" vertical="center"/>
    </xf>
    <xf numFmtId="178" fontId="19" fillId="0" borderId="1" xfId="0" applyNumberFormat="1" applyFont="1" applyBorder="1" applyAlignment="1">
      <alignment horizontal="right" vertical="center"/>
    </xf>
    <xf numFmtId="178" fontId="19" fillId="0" borderId="4" xfId="0" quotePrefix="1" applyNumberFormat="1" applyFont="1" applyBorder="1" applyAlignment="1">
      <alignment horizontal="right" vertical="center"/>
    </xf>
    <xf numFmtId="178" fontId="19" fillId="0" borderId="4" xfId="0" quotePrefix="1" applyNumberFormat="1" applyFont="1" applyBorder="1" applyAlignment="1">
      <alignment horizontal="right" vertical="top"/>
    </xf>
    <xf numFmtId="0" fontId="14" fillId="0" borderId="1" xfId="0" applyFont="1" applyBorder="1" applyAlignment="1">
      <alignment horizontal="right" vertical="center"/>
    </xf>
    <xf numFmtId="49" fontId="9" fillId="0" borderId="8" xfId="0" applyNumberFormat="1" applyFont="1" applyBorder="1" applyAlignment="1">
      <alignment horizontal="center" vertical="top"/>
    </xf>
    <xf numFmtId="178" fontId="9" fillId="0" borderId="8" xfId="0" quotePrefix="1" applyNumberFormat="1" applyFont="1" applyBorder="1" applyAlignment="1">
      <alignment horizontal="right" vertical="top"/>
    </xf>
    <xf numFmtId="0" fontId="1" fillId="0" borderId="0" xfId="0" applyFont="1" applyAlignment="1"/>
    <xf numFmtId="0" fontId="12" fillId="0" borderId="9" xfId="0" applyFont="1" applyBorder="1" applyAlignment="1">
      <alignment horizontal="right"/>
    </xf>
    <xf numFmtId="0" fontId="12" fillId="0" borderId="9" xfId="0" applyFont="1" applyBorder="1" applyAlignment="1">
      <alignment horizontal="center"/>
    </xf>
    <xf numFmtId="3" fontId="12" fillId="0" borderId="9" xfId="0" applyNumberFormat="1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3" fontId="21" fillId="0" borderId="7" xfId="0" applyNumberFormat="1" applyFont="1" applyBorder="1" applyAlignment="1">
      <alignment horizontal="right"/>
    </xf>
    <xf numFmtId="3" fontId="21" fillId="0" borderId="9" xfId="0" applyNumberFormat="1" applyFont="1" applyBorder="1" applyAlignment="1">
      <alignment horizontal="right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4" fillId="0" borderId="0" xfId="0" applyNumberFormat="1" applyFont="1" applyBorder="1" applyAlignment="1">
      <alignment vertical="center"/>
    </xf>
    <xf numFmtId="3" fontId="14" fillId="2" borderId="1" xfId="0" applyNumberFormat="1" applyFont="1" applyFill="1" applyBorder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quotePrefix="1" applyFont="1" applyBorder="1" applyAlignment="1">
      <alignment vertical="center"/>
    </xf>
    <xf numFmtId="0" fontId="12" fillId="0" borderId="0" xfId="0" quotePrefix="1" applyFont="1" applyAlignment="1">
      <alignment vertical="center"/>
    </xf>
    <xf numFmtId="49" fontId="23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0" fontId="29" fillId="0" borderId="1" xfId="0" applyFont="1" applyBorder="1" applyAlignment="1">
      <alignment horizontal="right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Border="1">
      <alignment vertical="center"/>
    </xf>
    <xf numFmtId="0" fontId="31" fillId="0" borderId="1" xfId="0" applyFont="1" applyBorder="1" applyAlignment="1">
      <alignment horizontal="center" vertical="center"/>
    </xf>
    <xf numFmtId="177" fontId="32" fillId="0" borderId="1" xfId="0" applyNumberFormat="1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3" fillId="0" borderId="0" xfId="0" applyFont="1">
      <alignment vertical="center"/>
    </xf>
    <xf numFmtId="0" fontId="10" fillId="0" borderId="0" xfId="0" applyFont="1" applyAlignment="1">
      <alignment vertical="center" wrapText="1"/>
    </xf>
    <xf numFmtId="177" fontId="30" fillId="0" borderId="21" xfId="0" applyNumberFormat="1" applyFont="1" applyBorder="1" applyAlignment="1">
      <alignment horizontal="right" vertical="center"/>
    </xf>
    <xf numFmtId="177" fontId="30" fillId="0" borderId="1" xfId="0" applyNumberFormat="1" applyFont="1" applyBorder="1">
      <alignment vertical="center"/>
    </xf>
    <xf numFmtId="177" fontId="30" fillId="0" borderId="22" xfId="0" applyNumberFormat="1" applyFont="1" applyBorder="1">
      <alignment vertical="center"/>
    </xf>
    <xf numFmtId="3" fontId="34" fillId="0" borderId="1" xfId="0" applyNumberFormat="1" applyFont="1" applyFill="1" applyBorder="1">
      <alignment vertical="center"/>
    </xf>
    <xf numFmtId="3" fontId="34" fillId="0" borderId="22" xfId="0" applyNumberFormat="1" applyFont="1" applyFill="1" applyBorder="1">
      <alignment vertical="center"/>
    </xf>
    <xf numFmtId="3" fontId="34" fillId="2" borderId="22" xfId="0" applyNumberFormat="1" applyFont="1" applyFill="1" applyBorder="1">
      <alignment vertical="center"/>
    </xf>
    <xf numFmtId="177" fontId="30" fillId="0" borderId="24" xfId="0" applyNumberFormat="1" applyFont="1" applyBorder="1" applyAlignment="1">
      <alignment horizontal="right" vertical="center"/>
    </xf>
    <xf numFmtId="177" fontId="30" fillId="0" borderId="25" xfId="0" applyNumberFormat="1" applyFont="1" applyBorder="1">
      <alignment vertical="center"/>
    </xf>
    <xf numFmtId="177" fontId="30" fillId="0" borderId="26" xfId="0" applyNumberFormat="1" applyFont="1" applyBorder="1">
      <alignment vertical="center"/>
    </xf>
    <xf numFmtId="3" fontId="34" fillId="0" borderId="25" xfId="0" applyNumberFormat="1" applyFont="1" applyFill="1" applyBorder="1">
      <alignment vertical="center"/>
    </xf>
    <xf numFmtId="3" fontId="34" fillId="0" borderId="26" xfId="0" applyNumberFormat="1" applyFont="1" applyFill="1" applyBorder="1">
      <alignment vertical="center"/>
    </xf>
    <xf numFmtId="3" fontId="34" fillId="2" borderId="26" xfId="0" applyNumberFormat="1" applyFont="1" applyFill="1" applyBorder="1">
      <alignment vertical="center"/>
    </xf>
    <xf numFmtId="0" fontId="30" fillId="0" borderId="12" xfId="0" applyFont="1" applyBorder="1" applyAlignment="1">
      <alignment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0" fillId="0" borderId="16" xfId="0" applyFont="1" applyBorder="1">
      <alignment vertical="center"/>
    </xf>
    <xf numFmtId="0" fontId="30" fillId="0" borderId="1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/>
    </xf>
    <xf numFmtId="0" fontId="36" fillId="0" borderId="20" xfId="0" applyFont="1" applyBorder="1">
      <alignment vertical="center"/>
    </xf>
    <xf numFmtId="177" fontId="36" fillId="0" borderId="21" xfId="0" applyNumberFormat="1" applyFont="1" applyBorder="1">
      <alignment vertical="center"/>
    </xf>
    <xf numFmtId="177" fontId="36" fillId="0" borderId="1" xfId="0" applyNumberFormat="1" applyFont="1" applyBorder="1">
      <alignment vertical="center"/>
    </xf>
    <xf numFmtId="177" fontId="36" fillId="0" borderId="22" xfId="0" applyNumberFormat="1" applyFont="1" applyBorder="1">
      <alignment vertical="center"/>
    </xf>
    <xf numFmtId="3" fontId="37" fillId="0" borderId="1" xfId="0" applyNumberFormat="1" applyFont="1" applyFill="1" applyBorder="1">
      <alignment vertical="center"/>
    </xf>
    <xf numFmtId="3" fontId="37" fillId="0" borderId="22" xfId="0" applyNumberFormat="1" applyFont="1" applyFill="1" applyBorder="1">
      <alignment vertical="center"/>
    </xf>
    <xf numFmtId="3" fontId="37" fillId="2" borderId="22" xfId="0" applyNumberFormat="1" applyFont="1" applyFill="1" applyBorder="1">
      <alignment vertical="center"/>
    </xf>
    <xf numFmtId="0" fontId="30" fillId="0" borderId="20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center" shrinkToFit="1"/>
    </xf>
    <xf numFmtId="0" fontId="35" fillId="0" borderId="22" xfId="0" applyFont="1" applyBorder="1" applyAlignment="1">
      <alignment horizontal="center" vertical="center"/>
    </xf>
    <xf numFmtId="176" fontId="35" fillId="2" borderId="22" xfId="0" applyNumberFormat="1" applyFont="1" applyFill="1" applyBorder="1">
      <alignment vertical="center"/>
    </xf>
    <xf numFmtId="176" fontId="35" fillId="2" borderId="26" xfId="0" applyNumberFormat="1" applyFont="1" applyFill="1" applyBorder="1">
      <alignment vertical="center"/>
    </xf>
    <xf numFmtId="3" fontId="36" fillId="0" borderId="19" xfId="0" applyNumberFormat="1" applyFont="1" applyBorder="1" applyAlignment="1">
      <alignment horizontal="right" vertical="center"/>
    </xf>
    <xf numFmtId="3" fontId="30" fillId="0" borderId="19" xfId="0" applyNumberFormat="1" applyFont="1" applyBorder="1" applyAlignment="1">
      <alignment horizontal="right" vertical="center"/>
    </xf>
    <xf numFmtId="3" fontId="30" fillId="0" borderId="27" xfId="0" applyNumberFormat="1" applyFont="1" applyBorder="1" applyAlignment="1">
      <alignment horizontal="right" vertical="center"/>
    </xf>
    <xf numFmtId="176" fontId="20" fillId="0" borderId="1" xfId="0" applyNumberFormat="1" applyFont="1" applyBorder="1">
      <alignment vertical="center"/>
    </xf>
    <xf numFmtId="10" fontId="20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/>
    <xf numFmtId="177" fontId="8" fillId="0" borderId="1" xfId="0" applyNumberFormat="1" applyFont="1" applyBorder="1" applyAlignment="1">
      <alignment horizontal="right" vertical="center"/>
    </xf>
    <xf numFmtId="178" fontId="9" fillId="0" borderId="1" xfId="0" quotePrefix="1" applyNumberFormat="1" applyFont="1" applyBorder="1" applyAlignment="1">
      <alignment horizontal="right" vertical="top"/>
    </xf>
    <xf numFmtId="178" fontId="9" fillId="0" borderId="1" xfId="0" applyNumberFormat="1" applyFont="1" applyBorder="1" applyAlignment="1">
      <alignment horizontal="right" vertical="top"/>
    </xf>
    <xf numFmtId="177" fontId="7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/>
    </xf>
    <xf numFmtId="10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0" fontId="29" fillId="0" borderId="1" xfId="0" applyFont="1" applyBorder="1" applyAlignment="1">
      <alignment horizontal="center" vertical="center" shrinkToFit="1"/>
    </xf>
    <xf numFmtId="177" fontId="10" fillId="0" borderId="28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178" fontId="7" fillId="0" borderId="0" xfId="0" quotePrefix="1" applyNumberFormat="1" applyFont="1" applyAlignment="1">
      <alignment vertical="center"/>
    </xf>
    <xf numFmtId="176" fontId="27" fillId="0" borderId="1" xfId="0" applyNumberFormat="1" applyFont="1" applyBorder="1">
      <alignment vertical="center"/>
    </xf>
    <xf numFmtId="0" fontId="39" fillId="0" borderId="1" xfId="0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right" vertical="center"/>
    </xf>
    <xf numFmtId="0" fontId="38" fillId="0" borderId="0" xfId="0" applyFont="1">
      <alignment vertical="center"/>
    </xf>
    <xf numFmtId="3" fontId="39" fillId="0" borderId="1" xfId="0" applyNumberFormat="1" applyFont="1" applyBorder="1" applyAlignment="1">
      <alignment horizontal="right" vertical="center" shrinkToFit="1"/>
    </xf>
    <xf numFmtId="0" fontId="39" fillId="0" borderId="1" xfId="0" applyFont="1" applyFill="1" applyBorder="1" applyAlignment="1">
      <alignment horizontal="center" vertical="center"/>
    </xf>
    <xf numFmtId="179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right" vertical="center"/>
    </xf>
    <xf numFmtId="3" fontId="40" fillId="0" borderId="1" xfId="0" applyNumberFormat="1" applyFont="1" applyBorder="1">
      <alignment vertical="center"/>
    </xf>
    <xf numFmtId="177" fontId="10" fillId="0" borderId="1" xfId="0" applyNumberFormat="1" applyFont="1" applyBorder="1" applyAlignment="1">
      <alignment horizontal="right" vertical="center"/>
    </xf>
    <xf numFmtId="178" fontId="10" fillId="0" borderId="1" xfId="0" quotePrefix="1" applyNumberFormat="1" applyFont="1" applyBorder="1" applyAlignment="1">
      <alignment horizontal="right" vertical="top"/>
    </xf>
    <xf numFmtId="0" fontId="39" fillId="0" borderId="1" xfId="0" applyFont="1" applyBorder="1" applyAlignment="1">
      <alignment horizontal="right" vertical="center"/>
    </xf>
    <xf numFmtId="3" fontId="39" fillId="0" borderId="1" xfId="0" applyNumberFormat="1" applyFont="1" applyBorder="1" applyAlignment="1">
      <alignment horizontal="right"/>
    </xf>
    <xf numFmtId="0" fontId="41" fillId="0" borderId="1" xfId="0" applyFont="1" applyBorder="1" applyAlignment="1">
      <alignment horizontal="right" vertical="center"/>
    </xf>
    <xf numFmtId="3" fontId="41" fillId="0" borderId="1" xfId="0" applyNumberFormat="1" applyFont="1" applyBorder="1" applyAlignment="1">
      <alignment vertical="center"/>
    </xf>
    <xf numFmtId="178" fontId="10" fillId="0" borderId="8" xfId="0" quotePrefix="1" applyNumberFormat="1" applyFont="1" applyBorder="1" applyAlignment="1">
      <alignment horizontal="right" vertical="top"/>
    </xf>
    <xf numFmtId="3" fontId="10" fillId="0" borderId="1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9" fontId="40" fillId="0" borderId="1" xfId="0" applyNumberFormat="1" applyFont="1" applyBorder="1" applyAlignment="1">
      <alignment horizontal="center" vertical="center"/>
    </xf>
    <xf numFmtId="179" fontId="39" fillId="0" borderId="1" xfId="0" applyNumberFormat="1" applyFont="1" applyBorder="1" applyAlignment="1">
      <alignment horizontal="center" vertical="center"/>
    </xf>
    <xf numFmtId="3" fontId="39" fillId="0" borderId="1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top"/>
    </xf>
    <xf numFmtId="49" fontId="16" fillId="0" borderId="0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left" vertical="top"/>
    </xf>
    <xf numFmtId="178" fontId="9" fillId="0" borderId="8" xfId="0" quotePrefix="1" applyNumberFormat="1" applyFont="1" applyBorder="1" applyAlignment="1">
      <alignment vertical="top"/>
    </xf>
    <xf numFmtId="49" fontId="23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78" fontId="10" fillId="0" borderId="8" xfId="0" quotePrefix="1" applyNumberFormat="1" applyFont="1" applyBorder="1" applyAlignment="1">
      <alignment vertical="top"/>
    </xf>
    <xf numFmtId="3" fontId="3" fillId="0" borderId="5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/>
    </xf>
    <xf numFmtId="0" fontId="12" fillId="0" borderId="0" xfId="0" applyFont="1" applyBorder="1" applyAlignment="1">
      <alignment horizontal="right"/>
    </xf>
    <xf numFmtId="3" fontId="21" fillId="0" borderId="7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justify" vertical="center" wrapText="1" readingOrder="1"/>
    </xf>
    <xf numFmtId="0" fontId="0" fillId="0" borderId="11" xfId="0" applyBorder="1" applyAlignment="1">
      <alignment horizontal="justify" vertical="center" wrapText="1"/>
    </xf>
    <xf numFmtId="0" fontId="29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b="0"/>
              <a:t>一般旅券発行数の推移１３－１</a:t>
            </a:r>
            <a:endParaRPr lang="en-US" altLang="ja-JP" b="0"/>
          </a:p>
          <a:p>
            <a:pPr>
              <a:defRPr b="0"/>
            </a:pPr>
            <a:r>
              <a:rPr lang="ja-JP" altLang="en-US" sz="1600" b="0"/>
              <a:t>（除く　在外公館発行数）</a:t>
            </a:r>
          </a:p>
        </c:rich>
      </c:tx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88312017534911"/>
          <c:y val="0.21242151627598274"/>
          <c:w val="0.86455307927498459"/>
          <c:h val="0.72368081576009891"/>
        </c:manualLayout>
      </c:layout>
      <c:lineChart>
        <c:grouping val="standard"/>
        <c:varyColors val="0"/>
        <c:ser>
          <c:idx val="1"/>
          <c:order val="0"/>
          <c:tx>
            <c:strRef>
              <c:f>一般旅券発行数の推移!$R$4</c:f>
              <c:strCache>
                <c:ptCount val="1"/>
                <c:pt idx="0">
                  <c:v>発行数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marker>
          <c:dPt>
            <c:idx val="14"/>
            <c:marker>
              <c:symbol val="square"/>
              <c:size val="5"/>
            </c:marker>
            <c:bubble3D val="0"/>
          </c:dPt>
          <c:cat>
            <c:strRef>
              <c:f>一般旅券発行数の推移!$Q$5:$Q$29</c:f>
              <c:strCache>
                <c:ptCount val="25"/>
                <c:pt idx="0">
                  <c:v>元年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strCache>
            </c:strRef>
          </c:cat>
          <c:val>
            <c:numRef>
              <c:f>一般旅券発行数の推移!$R$5:$R$29</c:f>
              <c:numCache>
                <c:formatCode>#,##0_ </c:formatCode>
                <c:ptCount val="25"/>
                <c:pt idx="0">
                  <c:v>4241783</c:v>
                </c:pt>
                <c:pt idx="1">
                  <c:v>4697047</c:v>
                </c:pt>
                <c:pt idx="2">
                  <c:v>4437964</c:v>
                </c:pt>
                <c:pt idx="3">
                  <c:v>4677020</c:v>
                </c:pt>
                <c:pt idx="4">
                  <c:v>4663372</c:v>
                </c:pt>
                <c:pt idx="5">
                  <c:v>5210727</c:v>
                </c:pt>
                <c:pt idx="6">
                  <c:v>5825404</c:v>
                </c:pt>
                <c:pt idx="7">
                  <c:v>6236438</c:v>
                </c:pt>
                <c:pt idx="8">
                  <c:v>5811526</c:v>
                </c:pt>
                <c:pt idx="9">
                  <c:v>5372272</c:v>
                </c:pt>
                <c:pt idx="10">
                  <c:v>5611979</c:v>
                </c:pt>
                <c:pt idx="11">
                  <c:v>5857835</c:v>
                </c:pt>
                <c:pt idx="12">
                  <c:v>4348881</c:v>
                </c:pt>
                <c:pt idx="13">
                  <c:v>3749166</c:v>
                </c:pt>
                <c:pt idx="14">
                  <c:v>2721029</c:v>
                </c:pt>
                <c:pt idx="15">
                  <c:v>3485325</c:v>
                </c:pt>
                <c:pt idx="16">
                  <c:v>3612473</c:v>
                </c:pt>
                <c:pt idx="17">
                  <c:v>4302191</c:v>
                </c:pt>
                <c:pt idx="18">
                  <c:v>4209097</c:v>
                </c:pt>
                <c:pt idx="19">
                  <c:v>3801384</c:v>
                </c:pt>
                <c:pt idx="20">
                  <c:v>4015470</c:v>
                </c:pt>
                <c:pt idx="21">
                  <c:v>4185080</c:v>
                </c:pt>
                <c:pt idx="22">
                  <c:v>3961382</c:v>
                </c:pt>
                <c:pt idx="23">
                  <c:v>3924008</c:v>
                </c:pt>
                <c:pt idx="24" formatCode="#,##0">
                  <c:v>3296805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42432"/>
        <c:axId val="82212352"/>
      </c:lineChart>
      <c:catAx>
        <c:axId val="79042432"/>
        <c:scaling>
          <c:orientation val="minMax"/>
        </c:scaling>
        <c:delete val="0"/>
        <c:axPos val="b"/>
        <c:numFmt formatCode="#,##0_ " sourceLinked="0"/>
        <c:majorTickMark val="out"/>
        <c:minorTickMark val="none"/>
        <c:tickLblPos val="nextTo"/>
        <c:crossAx val="82212352"/>
        <c:crosses val="autoZero"/>
        <c:auto val="1"/>
        <c:lblAlgn val="ctr"/>
        <c:lblOffset val="100"/>
        <c:noMultiLvlLbl val="0"/>
      </c:catAx>
      <c:valAx>
        <c:axId val="822123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（万冊）</a:t>
                </a:r>
              </a:p>
            </c:rich>
          </c:tx>
          <c:layout>
            <c:manualLayout>
              <c:xMode val="edge"/>
              <c:yMode val="edge"/>
              <c:x val="0.12007797270955166"/>
              <c:y val="0.12082879295260512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79042432"/>
        <c:crosses val="autoZero"/>
        <c:crossBetween val="between"/>
        <c:dispUnits>
          <c:builtInUnit val="tenThousands"/>
        </c:dispUnits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一般旅券紛失・盗難件数１３－２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国内紛失・盗難件数</c:v>
          </c:tx>
          <c:spPr>
            <a:solidFill>
              <a:srgbClr val="00FFFF"/>
            </a:solidFill>
            <a:ln>
              <a:solidFill>
                <a:srgbClr val="000000"/>
              </a:solidFill>
            </a:ln>
          </c:spPr>
          <c:invertIfNegative val="0"/>
          <c:dLbls>
            <c:dLbl>
              <c:idx val="1"/>
              <c:layout>
                <c:manualLayout>
                  <c:x val="-1.3640717035486083E-17"/>
                  <c:y val="-1.9485038274182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281434070972169E-17"/>
                  <c:y val="-1.9485038274182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-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6.4022268615170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4562868141944338E-17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0"/>
                  <c:y val="2.7835768963117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4.7320807237299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488095412459624E-3"/>
                  <c:y val="4.17536534446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3.06193458594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488095412459624E-3"/>
                  <c:y val="2.7835768963117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4.45372303409882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0912573628388871E-16"/>
                  <c:y val="2.505219206680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1.1717286701367952E-7"/>
                  <c:y val="7.2372999304105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2.9761908249191392E-3"/>
                  <c:y val="1.6701461377870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1.4880954124595145E-3"/>
                  <c:y val="4.732080723730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一般旅券紛失・盗難件数!$B$3:$Z$3</c:f>
              <c:strCache>
                <c:ptCount val="25"/>
                <c:pt idx="0">
                  <c:v>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  <c:pt idx="6">
                  <c:v>７年</c:v>
                </c:pt>
                <c:pt idx="7">
                  <c:v>８年</c:v>
                </c:pt>
                <c:pt idx="8">
                  <c:v>９年</c:v>
                </c:pt>
                <c:pt idx="9">
                  <c:v>１０年</c:v>
                </c:pt>
                <c:pt idx="10">
                  <c:v>１１年</c:v>
                </c:pt>
                <c:pt idx="11">
                  <c:v>１２年</c:v>
                </c:pt>
                <c:pt idx="12">
                  <c:v>１３年</c:v>
                </c:pt>
                <c:pt idx="13">
                  <c:v>１４年</c:v>
                </c:pt>
                <c:pt idx="14">
                  <c:v>１５年</c:v>
                </c:pt>
                <c:pt idx="15">
                  <c:v>１６年</c:v>
                </c:pt>
                <c:pt idx="16">
                  <c:v>１７年</c:v>
                </c:pt>
                <c:pt idx="17">
                  <c:v>１８年</c:v>
                </c:pt>
                <c:pt idx="18">
                  <c:v>１９年</c:v>
                </c:pt>
                <c:pt idx="19">
                  <c:v>２０年</c:v>
                </c:pt>
                <c:pt idx="20">
                  <c:v>２１年</c:v>
                </c:pt>
                <c:pt idx="21">
                  <c:v>２２年</c:v>
                </c:pt>
                <c:pt idx="22">
                  <c:v>２３年</c:v>
                </c:pt>
                <c:pt idx="23">
                  <c:v>２４年</c:v>
                </c:pt>
                <c:pt idx="24">
                  <c:v>２５年</c:v>
                </c:pt>
              </c:strCache>
            </c:strRef>
          </c:cat>
          <c:val>
            <c:numRef>
              <c:f>一般旅券紛失・盗難件数!$B$5:$Z$5</c:f>
              <c:numCache>
                <c:formatCode>#,##0_);[Red]\(#,##0\)</c:formatCode>
                <c:ptCount val="25"/>
                <c:pt idx="0">
                  <c:v>20560</c:v>
                </c:pt>
                <c:pt idx="1">
                  <c:v>22720</c:v>
                </c:pt>
                <c:pt idx="2">
                  <c:v>23223</c:v>
                </c:pt>
                <c:pt idx="3">
                  <c:v>24434</c:v>
                </c:pt>
                <c:pt idx="4">
                  <c:v>27154</c:v>
                </c:pt>
                <c:pt idx="5">
                  <c:v>30683</c:v>
                </c:pt>
                <c:pt idx="6">
                  <c:v>34130</c:v>
                </c:pt>
                <c:pt idx="7">
                  <c:v>33257</c:v>
                </c:pt>
                <c:pt idx="8">
                  <c:v>30197</c:v>
                </c:pt>
                <c:pt idx="9">
                  <c:v>26734</c:v>
                </c:pt>
                <c:pt idx="10">
                  <c:v>23726</c:v>
                </c:pt>
                <c:pt idx="11">
                  <c:v>30128</c:v>
                </c:pt>
                <c:pt idx="12">
                  <c:v>31655</c:v>
                </c:pt>
                <c:pt idx="13">
                  <c:v>36483</c:v>
                </c:pt>
                <c:pt idx="14">
                  <c:v>34174</c:v>
                </c:pt>
                <c:pt idx="15">
                  <c:v>41837</c:v>
                </c:pt>
                <c:pt idx="16">
                  <c:v>42531</c:v>
                </c:pt>
                <c:pt idx="17">
                  <c:v>40960</c:v>
                </c:pt>
                <c:pt idx="18">
                  <c:v>41212</c:v>
                </c:pt>
                <c:pt idx="19">
                  <c:v>35638</c:v>
                </c:pt>
                <c:pt idx="20" formatCode="#,##0">
                  <c:v>35571</c:v>
                </c:pt>
                <c:pt idx="21" formatCode="#,##0">
                  <c:v>34842</c:v>
                </c:pt>
                <c:pt idx="22" formatCode="#,##0">
                  <c:v>35163</c:v>
                </c:pt>
                <c:pt idx="23" formatCode="#,##0_ ">
                  <c:v>34914</c:v>
                </c:pt>
                <c:pt idx="24" formatCode="#,##0">
                  <c:v>32225</c:v>
                </c:pt>
              </c:numCache>
            </c:numRef>
          </c:val>
        </c:ser>
        <c:ser>
          <c:idx val="1"/>
          <c:order val="1"/>
          <c:tx>
            <c:v>国外紛失・盗難件数</c:v>
          </c:tx>
          <c:spPr>
            <a:solidFill>
              <a:srgbClr val="FF33CC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一般旅券紛失・盗難件数!$B$3:$Z$3</c:f>
              <c:strCache>
                <c:ptCount val="25"/>
                <c:pt idx="0">
                  <c:v>元年</c:v>
                </c:pt>
                <c:pt idx="1">
                  <c:v>２年</c:v>
                </c:pt>
                <c:pt idx="2">
                  <c:v>３年</c:v>
                </c:pt>
                <c:pt idx="3">
                  <c:v>４年</c:v>
                </c:pt>
                <c:pt idx="4">
                  <c:v>５年</c:v>
                </c:pt>
                <c:pt idx="5">
                  <c:v>６年</c:v>
                </c:pt>
                <c:pt idx="6">
                  <c:v>７年</c:v>
                </c:pt>
                <c:pt idx="7">
                  <c:v>８年</c:v>
                </c:pt>
                <c:pt idx="8">
                  <c:v>９年</c:v>
                </c:pt>
                <c:pt idx="9">
                  <c:v>１０年</c:v>
                </c:pt>
                <c:pt idx="10">
                  <c:v>１１年</c:v>
                </c:pt>
                <c:pt idx="11">
                  <c:v>１２年</c:v>
                </c:pt>
                <c:pt idx="12">
                  <c:v>１３年</c:v>
                </c:pt>
                <c:pt idx="13">
                  <c:v>１４年</c:v>
                </c:pt>
                <c:pt idx="14">
                  <c:v>１５年</c:v>
                </c:pt>
                <c:pt idx="15">
                  <c:v>１６年</c:v>
                </c:pt>
                <c:pt idx="16">
                  <c:v>１７年</c:v>
                </c:pt>
                <c:pt idx="17">
                  <c:v>１８年</c:v>
                </c:pt>
                <c:pt idx="18">
                  <c:v>１９年</c:v>
                </c:pt>
                <c:pt idx="19">
                  <c:v>２０年</c:v>
                </c:pt>
                <c:pt idx="20">
                  <c:v>２１年</c:v>
                </c:pt>
                <c:pt idx="21">
                  <c:v>２２年</c:v>
                </c:pt>
                <c:pt idx="22">
                  <c:v>２３年</c:v>
                </c:pt>
                <c:pt idx="23">
                  <c:v>２４年</c:v>
                </c:pt>
                <c:pt idx="24">
                  <c:v>２５年</c:v>
                </c:pt>
              </c:strCache>
            </c:strRef>
          </c:cat>
          <c:val>
            <c:numRef>
              <c:f>一般旅券紛失・盗難件数!$B$6:$Z$6</c:f>
              <c:numCache>
                <c:formatCode>#,##0_);[Red]\(#,##0\)</c:formatCode>
                <c:ptCount val="25"/>
                <c:pt idx="0">
                  <c:v>9579</c:v>
                </c:pt>
                <c:pt idx="1">
                  <c:v>10604</c:v>
                </c:pt>
                <c:pt idx="2">
                  <c:v>8486</c:v>
                </c:pt>
                <c:pt idx="3">
                  <c:v>8240</c:v>
                </c:pt>
                <c:pt idx="4">
                  <c:v>8540</c:v>
                </c:pt>
                <c:pt idx="5">
                  <c:v>8919</c:v>
                </c:pt>
                <c:pt idx="6">
                  <c:v>10109</c:v>
                </c:pt>
                <c:pt idx="7">
                  <c:v>10663</c:v>
                </c:pt>
                <c:pt idx="8">
                  <c:v>10464</c:v>
                </c:pt>
                <c:pt idx="9">
                  <c:v>10083</c:v>
                </c:pt>
                <c:pt idx="10">
                  <c:v>10417</c:v>
                </c:pt>
                <c:pt idx="11">
                  <c:v>11129</c:v>
                </c:pt>
                <c:pt idx="12">
                  <c:v>9861</c:v>
                </c:pt>
                <c:pt idx="13">
                  <c:v>9949</c:v>
                </c:pt>
                <c:pt idx="14">
                  <c:v>9373</c:v>
                </c:pt>
                <c:pt idx="15">
                  <c:v>9394</c:v>
                </c:pt>
                <c:pt idx="16">
                  <c:v>9007</c:v>
                </c:pt>
                <c:pt idx="17">
                  <c:v>8020</c:v>
                </c:pt>
                <c:pt idx="18">
                  <c:v>7749</c:v>
                </c:pt>
                <c:pt idx="19">
                  <c:v>7032</c:v>
                </c:pt>
                <c:pt idx="20" formatCode="#,##0">
                  <c:v>6693</c:v>
                </c:pt>
                <c:pt idx="21" formatCode="#,##0">
                  <c:v>6897</c:v>
                </c:pt>
                <c:pt idx="22" formatCode="#,##0">
                  <c:v>7335</c:v>
                </c:pt>
                <c:pt idx="23" formatCode="#,##0_ ">
                  <c:v>7958</c:v>
                </c:pt>
                <c:pt idx="24" formatCode="#,##0">
                  <c:v>7780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488000"/>
        <c:axId val="47489792"/>
      </c:barChart>
      <c:catAx>
        <c:axId val="47488000"/>
        <c:scaling>
          <c:orientation val="minMax"/>
        </c:scaling>
        <c:delete val="0"/>
        <c:axPos val="b"/>
        <c:majorTickMark val="out"/>
        <c:minorTickMark val="none"/>
        <c:tickLblPos val="nextTo"/>
        <c:crossAx val="47489792"/>
        <c:crosses val="autoZero"/>
        <c:auto val="1"/>
        <c:lblAlgn val="ctr"/>
        <c:lblOffset val="100"/>
        <c:noMultiLvlLbl val="0"/>
      </c:catAx>
      <c:valAx>
        <c:axId val="4748979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0.11011906052201215"/>
              <c:y val="0.13369410243343796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47488000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5</xdr:row>
      <xdr:rowOff>19050</xdr:rowOff>
    </xdr:from>
    <xdr:to>
      <xdr:col>14</xdr:col>
      <xdr:colOff>133350</xdr:colOff>
      <xdr:row>29</xdr:row>
      <xdr:rowOff>47625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14</xdr:row>
      <xdr:rowOff>9525</xdr:rowOff>
    </xdr:from>
    <xdr:to>
      <xdr:col>6</xdr:col>
      <xdr:colOff>19050</xdr:colOff>
      <xdr:row>27</xdr:row>
      <xdr:rowOff>85725</xdr:rowOff>
    </xdr:to>
    <xdr:sp macro="" textlink="">
      <xdr:nvSpPr>
        <xdr:cNvPr id="29" name="テキスト ボックス 28"/>
        <xdr:cNvSpPr txBox="1"/>
      </xdr:nvSpPr>
      <xdr:spPr>
        <a:xfrm>
          <a:off x="3419475" y="2409825"/>
          <a:ext cx="276225" cy="23050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○平成７年１１月１日　旅券法改正施行</a:t>
          </a:r>
        </a:p>
      </xdr:txBody>
    </xdr:sp>
    <xdr:clientData/>
  </xdr:twoCellAnchor>
  <xdr:twoCellAnchor>
    <xdr:from>
      <xdr:col>5</xdr:col>
      <xdr:colOff>561975</xdr:colOff>
      <xdr:row>17</xdr:row>
      <xdr:rowOff>66675</xdr:rowOff>
    </xdr:from>
    <xdr:to>
      <xdr:col>6</xdr:col>
      <xdr:colOff>219075</xdr:colOff>
      <xdr:row>27</xdr:row>
      <xdr:rowOff>57150</xdr:rowOff>
    </xdr:to>
    <xdr:sp macro="" textlink="">
      <xdr:nvSpPr>
        <xdr:cNvPr id="30" name="テキスト ボックス 29"/>
        <xdr:cNvSpPr txBox="1"/>
      </xdr:nvSpPr>
      <xdr:spPr>
        <a:xfrm>
          <a:off x="3619500" y="2981325"/>
          <a:ext cx="276225" cy="17049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１０年間有効旅券の発行開始</a:t>
          </a:r>
        </a:p>
      </xdr:txBody>
    </xdr:sp>
    <xdr:clientData/>
  </xdr:twoCellAnchor>
  <xdr:twoCellAnchor>
    <xdr:from>
      <xdr:col>10</xdr:col>
      <xdr:colOff>314325</xdr:colOff>
      <xdr:row>18</xdr:row>
      <xdr:rowOff>0</xdr:rowOff>
    </xdr:from>
    <xdr:to>
      <xdr:col>10</xdr:col>
      <xdr:colOff>590550</xdr:colOff>
      <xdr:row>26</xdr:row>
      <xdr:rowOff>133350</xdr:rowOff>
    </xdr:to>
    <xdr:sp macro="" textlink="">
      <xdr:nvSpPr>
        <xdr:cNvPr id="31" name="テキスト ボックス 30"/>
        <xdr:cNvSpPr txBox="1"/>
      </xdr:nvSpPr>
      <xdr:spPr>
        <a:xfrm>
          <a:off x="6467475" y="3086100"/>
          <a:ext cx="276225" cy="15049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○平成１８年３月２０日</a:t>
          </a:r>
        </a:p>
      </xdr:txBody>
    </xdr:sp>
    <xdr:clientData/>
  </xdr:twoCellAnchor>
  <xdr:twoCellAnchor>
    <xdr:from>
      <xdr:col>10</xdr:col>
      <xdr:colOff>485775</xdr:colOff>
      <xdr:row>20</xdr:row>
      <xdr:rowOff>47625</xdr:rowOff>
    </xdr:from>
    <xdr:to>
      <xdr:col>11</xdr:col>
      <xdr:colOff>142875</xdr:colOff>
      <xdr:row>27</xdr:row>
      <xdr:rowOff>19050</xdr:rowOff>
    </xdr:to>
    <xdr:sp macro="" textlink="">
      <xdr:nvSpPr>
        <xdr:cNvPr id="32" name="テキスト ボックス 31"/>
        <xdr:cNvSpPr txBox="1"/>
      </xdr:nvSpPr>
      <xdr:spPr>
        <a:xfrm>
          <a:off x="6638925" y="3476625"/>
          <a:ext cx="276225" cy="1171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旅券法改正法施行</a:t>
          </a:r>
        </a:p>
      </xdr:txBody>
    </xdr:sp>
    <xdr:clientData/>
  </xdr:twoCellAnchor>
  <xdr:twoCellAnchor>
    <xdr:from>
      <xdr:col>11</xdr:col>
      <xdr:colOff>47625</xdr:colOff>
      <xdr:row>20</xdr:row>
      <xdr:rowOff>57150</xdr:rowOff>
    </xdr:from>
    <xdr:to>
      <xdr:col>11</xdr:col>
      <xdr:colOff>323850</xdr:colOff>
      <xdr:row>27</xdr:row>
      <xdr:rowOff>28575</xdr:rowOff>
    </xdr:to>
    <xdr:sp macro="" textlink="">
      <xdr:nvSpPr>
        <xdr:cNvPr id="33" name="テキスト ボックス 32"/>
        <xdr:cNvSpPr txBox="1"/>
      </xdr:nvSpPr>
      <xdr:spPr>
        <a:xfrm>
          <a:off x="6819900" y="3486150"/>
          <a:ext cx="276225" cy="1171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ＩＣ旅券発行開始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314326</xdr:colOff>
      <xdr:row>15</xdr:row>
      <xdr:rowOff>161925</xdr:rowOff>
    </xdr:from>
    <xdr:to>
      <xdr:col>15</xdr:col>
      <xdr:colOff>142875</xdr:colOff>
      <xdr:row>42</xdr:row>
      <xdr:rowOff>95250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sqref="A1:H1"/>
    </sheetView>
  </sheetViews>
  <sheetFormatPr defaultRowHeight="13.5"/>
  <cols>
    <col min="1" max="1" width="6.625" style="4" customWidth="1"/>
    <col min="2" max="8" width="10.625" style="4" customWidth="1"/>
    <col min="9" max="16384" width="9" style="4"/>
  </cols>
  <sheetData>
    <row r="1" spans="1:8" ht="20.100000000000001" customHeight="1">
      <c r="A1" s="151" t="s">
        <v>0</v>
      </c>
      <c r="B1" s="151"/>
      <c r="C1" s="151"/>
      <c r="D1" s="151"/>
      <c r="E1" s="151"/>
      <c r="F1" s="151"/>
      <c r="G1" s="151"/>
      <c r="H1" s="151"/>
    </row>
    <row r="2" spans="1:8" ht="20.100000000000001" customHeight="1">
      <c r="A2" s="152" t="s">
        <v>1</v>
      </c>
      <c r="B2" s="153" t="s">
        <v>2</v>
      </c>
      <c r="C2" s="153"/>
      <c r="D2" s="153"/>
      <c r="E2" s="153" t="s">
        <v>3</v>
      </c>
      <c r="F2" s="153"/>
      <c r="G2" s="153"/>
      <c r="H2" s="153" t="s">
        <v>4</v>
      </c>
    </row>
    <row r="3" spans="1:8" ht="20.100000000000001" customHeight="1">
      <c r="A3" s="152"/>
      <c r="B3" s="48" t="s">
        <v>5</v>
      </c>
      <c r="C3" s="48" t="s">
        <v>6</v>
      </c>
      <c r="D3" s="48" t="s">
        <v>7</v>
      </c>
      <c r="E3" s="48" t="s">
        <v>8</v>
      </c>
      <c r="F3" s="48" t="s">
        <v>3</v>
      </c>
      <c r="G3" s="48" t="s">
        <v>7</v>
      </c>
      <c r="H3" s="153"/>
    </row>
    <row r="4" spans="1:8" ht="20.100000000000001" customHeight="1">
      <c r="A4" s="48">
        <v>1</v>
      </c>
      <c r="B4" s="111">
        <f>130071</f>
        <v>130071</v>
      </c>
      <c r="C4" s="111">
        <v>194412</v>
      </c>
      <c r="D4" s="111">
        <f>B4+C4</f>
        <v>324483</v>
      </c>
      <c r="E4" s="111">
        <v>169</v>
      </c>
      <c r="F4" s="111">
        <v>1770</v>
      </c>
      <c r="G4" s="111">
        <f>E4+F4</f>
        <v>1939</v>
      </c>
      <c r="H4" s="111">
        <f>D4+G4</f>
        <v>326422</v>
      </c>
    </row>
    <row r="5" spans="1:8" ht="20.100000000000001" customHeight="1">
      <c r="A5" s="48">
        <v>2</v>
      </c>
      <c r="B5" s="133">
        <v>124018</v>
      </c>
      <c r="C5" s="133">
        <v>170577</v>
      </c>
      <c r="D5" s="133">
        <f>B5+C5</f>
        <v>294595</v>
      </c>
      <c r="E5" s="133">
        <v>229</v>
      </c>
      <c r="F5" s="133">
        <v>2063</v>
      </c>
      <c r="G5" s="133">
        <f>E5+F5</f>
        <v>2292</v>
      </c>
      <c r="H5" s="133">
        <f t="shared" ref="H5:H16" si="0">D5+G5</f>
        <v>296887</v>
      </c>
    </row>
    <row r="6" spans="1:8" ht="20.100000000000001" customHeight="1">
      <c r="A6" s="48">
        <v>3</v>
      </c>
      <c r="B6" s="133">
        <f>65608+64190+49</f>
        <v>129847</v>
      </c>
      <c r="C6" s="133">
        <f>84482+66239</f>
        <v>150721</v>
      </c>
      <c r="D6" s="133">
        <f>B6+C6</f>
        <v>280568</v>
      </c>
      <c r="E6" s="133">
        <f>124+56</f>
        <v>180</v>
      </c>
      <c r="F6" s="133">
        <f>837+510</f>
        <v>1347</v>
      </c>
      <c r="G6" s="133">
        <f>E6+F6</f>
        <v>1527</v>
      </c>
      <c r="H6" s="133">
        <f t="shared" si="0"/>
        <v>282095</v>
      </c>
    </row>
    <row r="7" spans="1:8" ht="20.100000000000001" customHeight="1">
      <c r="A7" s="48">
        <v>4</v>
      </c>
      <c r="B7" s="133">
        <f>105260+103</f>
        <v>105363</v>
      </c>
      <c r="C7" s="133">
        <v>146017</v>
      </c>
      <c r="D7" s="133">
        <f t="shared" ref="D7:D16" si="1">B7+C7</f>
        <v>251380</v>
      </c>
      <c r="E7" s="133">
        <v>370</v>
      </c>
      <c r="F7" s="133">
        <v>2015</v>
      </c>
      <c r="G7" s="133">
        <f t="shared" ref="G7:G16" si="2">E7+F7</f>
        <v>2385</v>
      </c>
      <c r="H7" s="133">
        <f t="shared" si="0"/>
        <v>253765</v>
      </c>
    </row>
    <row r="8" spans="1:8" ht="20.100000000000001" customHeight="1">
      <c r="A8" s="48">
        <v>5</v>
      </c>
      <c r="B8" s="133">
        <f>116136+78</f>
        <v>116214</v>
      </c>
      <c r="C8" s="133">
        <v>158794</v>
      </c>
      <c r="D8" s="133">
        <f t="shared" si="1"/>
        <v>275008</v>
      </c>
      <c r="E8" s="133">
        <v>236</v>
      </c>
      <c r="F8" s="133">
        <v>2565</v>
      </c>
      <c r="G8" s="133">
        <f t="shared" si="2"/>
        <v>2801</v>
      </c>
      <c r="H8" s="133">
        <f t="shared" si="0"/>
        <v>277809</v>
      </c>
    </row>
    <row r="9" spans="1:8" ht="20.100000000000001" customHeight="1">
      <c r="A9" s="48">
        <v>6</v>
      </c>
      <c r="B9" s="133">
        <f>122164+56</f>
        <v>122220</v>
      </c>
      <c r="C9" s="133">
        <v>145531</v>
      </c>
      <c r="D9" s="133">
        <f t="shared" si="1"/>
        <v>267751</v>
      </c>
      <c r="E9" s="133">
        <v>334</v>
      </c>
      <c r="F9" s="133">
        <v>1962</v>
      </c>
      <c r="G9" s="133">
        <f t="shared" si="2"/>
        <v>2296</v>
      </c>
      <c r="H9" s="133">
        <f t="shared" si="0"/>
        <v>270047</v>
      </c>
    </row>
    <row r="10" spans="1:8" ht="20.100000000000001" customHeight="1">
      <c r="A10" s="48">
        <v>7</v>
      </c>
      <c r="B10" s="133">
        <f>155504+56</f>
        <v>155560</v>
      </c>
      <c r="C10" s="133">
        <v>180400</v>
      </c>
      <c r="D10" s="133">
        <f t="shared" si="1"/>
        <v>335960</v>
      </c>
      <c r="E10" s="133">
        <v>310</v>
      </c>
      <c r="F10" s="133">
        <v>1979</v>
      </c>
      <c r="G10" s="133">
        <f t="shared" si="2"/>
        <v>2289</v>
      </c>
      <c r="H10" s="133">
        <f t="shared" si="0"/>
        <v>338249</v>
      </c>
    </row>
    <row r="11" spans="1:8" ht="20.100000000000001" customHeight="1">
      <c r="A11" s="48">
        <v>8</v>
      </c>
      <c r="B11" s="133">
        <f>171614+54</f>
        <v>171668</v>
      </c>
      <c r="C11" s="133">
        <v>188672</v>
      </c>
      <c r="D11" s="133">
        <f t="shared" si="1"/>
        <v>360340</v>
      </c>
      <c r="E11" s="133">
        <v>294</v>
      </c>
      <c r="F11" s="133">
        <v>2302</v>
      </c>
      <c r="G11" s="133">
        <f t="shared" si="2"/>
        <v>2596</v>
      </c>
      <c r="H11" s="133">
        <f t="shared" si="0"/>
        <v>362936</v>
      </c>
    </row>
    <row r="12" spans="1:8" ht="20.100000000000001" customHeight="1">
      <c r="A12" s="48">
        <v>9</v>
      </c>
      <c r="B12" s="133">
        <f>90628+63</f>
        <v>90691</v>
      </c>
      <c r="C12" s="133">
        <v>145088</v>
      </c>
      <c r="D12" s="133">
        <f t="shared" si="1"/>
        <v>235779</v>
      </c>
      <c r="E12" s="133">
        <v>197</v>
      </c>
      <c r="F12" s="133">
        <v>2088</v>
      </c>
      <c r="G12" s="133">
        <f t="shared" si="2"/>
        <v>2285</v>
      </c>
      <c r="H12" s="133">
        <f t="shared" si="0"/>
        <v>238064</v>
      </c>
    </row>
    <row r="13" spans="1:8" ht="20.100000000000001" customHeight="1">
      <c r="A13" s="48">
        <v>10</v>
      </c>
      <c r="B13" s="133">
        <f>94482+51</f>
        <v>94533</v>
      </c>
      <c r="C13" s="133">
        <v>149216</v>
      </c>
      <c r="D13" s="133">
        <f t="shared" si="1"/>
        <v>243749</v>
      </c>
      <c r="E13" s="133">
        <v>172</v>
      </c>
      <c r="F13" s="133">
        <v>2361</v>
      </c>
      <c r="G13" s="133">
        <f t="shared" si="2"/>
        <v>2533</v>
      </c>
      <c r="H13" s="133">
        <f t="shared" si="0"/>
        <v>246282</v>
      </c>
    </row>
    <row r="14" spans="1:8" ht="20.100000000000001" customHeight="1">
      <c r="A14" s="48">
        <v>11</v>
      </c>
      <c r="B14" s="133">
        <f>84537+60</f>
        <v>84597</v>
      </c>
      <c r="C14" s="133">
        <v>125811</v>
      </c>
      <c r="D14" s="133">
        <f t="shared" si="1"/>
        <v>210408</v>
      </c>
      <c r="E14" s="133">
        <v>154</v>
      </c>
      <c r="F14" s="133">
        <v>1983</v>
      </c>
      <c r="G14" s="133">
        <f t="shared" si="2"/>
        <v>2137</v>
      </c>
      <c r="H14" s="133">
        <f t="shared" si="0"/>
        <v>212545</v>
      </c>
    </row>
    <row r="15" spans="1:8" ht="20.100000000000001" customHeight="1">
      <c r="A15" s="48">
        <v>12</v>
      </c>
      <c r="B15" s="133">
        <f>91012+53</f>
        <v>91065</v>
      </c>
      <c r="C15" s="133">
        <v>125719</v>
      </c>
      <c r="D15" s="133">
        <f t="shared" si="1"/>
        <v>216784</v>
      </c>
      <c r="E15" s="133">
        <v>103</v>
      </c>
      <c r="F15" s="133">
        <v>1770</v>
      </c>
      <c r="G15" s="133">
        <f t="shared" si="2"/>
        <v>1873</v>
      </c>
      <c r="H15" s="133">
        <f t="shared" si="0"/>
        <v>218657</v>
      </c>
    </row>
    <row r="16" spans="1:8" ht="20.100000000000001" customHeight="1">
      <c r="A16" s="48" t="s">
        <v>9</v>
      </c>
      <c r="B16" s="133">
        <f>SUM(B4:B15)</f>
        <v>1415847</v>
      </c>
      <c r="C16" s="133">
        <f>SUM(C4:C15)</f>
        <v>1880958</v>
      </c>
      <c r="D16" s="133">
        <f t="shared" si="1"/>
        <v>3296805</v>
      </c>
      <c r="E16" s="133">
        <f>SUM(E4:E15)</f>
        <v>2748</v>
      </c>
      <c r="F16" s="133">
        <f>SUM(F4:F15)</f>
        <v>24205</v>
      </c>
      <c r="G16" s="133">
        <f t="shared" si="2"/>
        <v>26953</v>
      </c>
      <c r="H16" s="133">
        <f t="shared" si="0"/>
        <v>3323758</v>
      </c>
    </row>
    <row r="17" spans="1:4" ht="20.100000000000001" customHeight="1">
      <c r="A17" s="48" t="s">
        <v>299</v>
      </c>
      <c r="B17" s="112">
        <f>B16/D16</f>
        <v>0.42946034114847559</v>
      </c>
      <c r="C17" s="112">
        <f>C16/D16</f>
        <v>0.57053965885152447</v>
      </c>
      <c r="D17" s="112">
        <f>D16/D16</f>
        <v>1</v>
      </c>
    </row>
  </sheetData>
  <mergeCells count="5">
    <mergeCell ref="A1:H1"/>
    <mergeCell ref="A2:A3"/>
    <mergeCell ref="B2:D2"/>
    <mergeCell ref="E2:G2"/>
    <mergeCell ref="H2:H3"/>
  </mergeCells>
  <phoneticPr fontId="5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I29" sqref="I29"/>
    </sheetView>
  </sheetViews>
  <sheetFormatPr defaultRowHeight="13.5"/>
  <cols>
    <col min="1" max="8" width="10.625" customWidth="1"/>
  </cols>
  <sheetData>
    <row r="1" spans="1:8" ht="20.100000000000001" customHeight="1">
      <c r="A1" s="163" t="s">
        <v>168</v>
      </c>
      <c r="B1" s="163"/>
      <c r="C1" s="163"/>
      <c r="D1" s="163"/>
      <c r="E1" s="163"/>
      <c r="F1" s="163"/>
      <c r="G1" s="163"/>
      <c r="H1" s="35"/>
    </row>
    <row r="2" spans="1:8" ht="30" customHeight="1">
      <c r="A2" s="192" t="s">
        <v>181</v>
      </c>
      <c r="B2" s="36" t="s">
        <v>182</v>
      </c>
      <c r="C2" s="36" t="s">
        <v>169</v>
      </c>
      <c r="D2" s="37" t="s">
        <v>171</v>
      </c>
      <c r="E2" s="37" t="s">
        <v>173</v>
      </c>
      <c r="F2" s="37" t="s">
        <v>175</v>
      </c>
      <c r="G2" s="37" t="s">
        <v>177</v>
      </c>
      <c r="H2" s="44" t="s">
        <v>179</v>
      </c>
    </row>
    <row r="3" spans="1:8" ht="30" customHeight="1">
      <c r="A3" s="192"/>
      <c r="B3" s="36" t="s">
        <v>183</v>
      </c>
      <c r="C3" s="36" t="s">
        <v>170</v>
      </c>
      <c r="D3" s="37" t="s">
        <v>172</v>
      </c>
      <c r="E3" s="37" t="s">
        <v>174</v>
      </c>
      <c r="F3" s="37" t="s">
        <v>176</v>
      </c>
      <c r="G3" s="37" t="s">
        <v>178</v>
      </c>
      <c r="H3" s="44" t="s">
        <v>180</v>
      </c>
    </row>
    <row r="4" spans="1:8" ht="30" customHeight="1">
      <c r="A4" s="38" t="s">
        <v>4</v>
      </c>
      <c r="B4" s="39">
        <v>48961</v>
      </c>
      <c r="C4" s="39">
        <v>42670</v>
      </c>
      <c r="D4" s="40">
        <v>42264</v>
      </c>
      <c r="E4" s="39">
        <v>41739</v>
      </c>
      <c r="F4" s="39">
        <v>42498</v>
      </c>
      <c r="G4" s="39">
        <v>42872</v>
      </c>
      <c r="H4" s="45">
        <f>H5+H6</f>
        <v>40005</v>
      </c>
    </row>
    <row r="5" spans="1:8" ht="30" customHeight="1">
      <c r="A5" s="41" t="s">
        <v>184</v>
      </c>
      <c r="B5" s="42">
        <v>41212</v>
      </c>
      <c r="C5" s="42">
        <v>35638</v>
      </c>
      <c r="D5" s="43">
        <v>35571</v>
      </c>
      <c r="E5" s="42">
        <v>34842</v>
      </c>
      <c r="F5" s="42">
        <v>35163</v>
      </c>
      <c r="G5" s="42">
        <v>34914</v>
      </c>
      <c r="H5" s="46">
        <v>32225</v>
      </c>
    </row>
    <row r="6" spans="1:8" ht="30" customHeight="1">
      <c r="A6" s="47" t="s">
        <v>185</v>
      </c>
      <c r="B6" s="46">
        <v>7749</v>
      </c>
      <c r="C6" s="46">
        <v>7032</v>
      </c>
      <c r="D6" s="46">
        <v>6693</v>
      </c>
      <c r="E6" s="46">
        <v>6897</v>
      </c>
      <c r="F6" s="46">
        <v>7335</v>
      </c>
      <c r="G6" s="46">
        <v>7958</v>
      </c>
      <c r="H6" s="46">
        <v>7780</v>
      </c>
    </row>
  </sheetData>
  <mergeCells count="2">
    <mergeCell ref="A1:G1"/>
    <mergeCell ref="A2:A3"/>
  </mergeCells>
  <phoneticPr fontId="5"/>
  <pageMargins left="0.7" right="0.7" top="0.75" bottom="0.75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M30" sqref="M30"/>
    </sheetView>
  </sheetViews>
  <sheetFormatPr defaultRowHeight="13.5"/>
  <cols>
    <col min="2" max="8" width="10.625" customWidth="1"/>
  </cols>
  <sheetData>
    <row r="1" spans="1:8" ht="20.100000000000001" customHeight="1">
      <c r="A1" s="193" t="s">
        <v>186</v>
      </c>
      <c r="B1" s="193"/>
      <c r="C1" s="193"/>
      <c r="D1" s="193"/>
      <c r="E1" s="193"/>
      <c r="F1" s="193"/>
      <c r="G1" s="193"/>
      <c r="H1" s="193"/>
    </row>
    <row r="2" spans="1:8" ht="24.95" customHeight="1">
      <c r="A2" s="194" t="s">
        <v>310</v>
      </c>
      <c r="B2" s="52" t="s">
        <v>234</v>
      </c>
      <c r="C2" s="52" t="s">
        <v>235</v>
      </c>
      <c r="D2" s="52" t="s">
        <v>236</v>
      </c>
      <c r="E2" s="52" t="s">
        <v>237</v>
      </c>
      <c r="F2" s="52" t="s">
        <v>238</v>
      </c>
      <c r="G2" s="52" t="s">
        <v>232</v>
      </c>
      <c r="H2" s="52" t="s">
        <v>239</v>
      </c>
    </row>
    <row r="3" spans="1:8" ht="24.95" customHeight="1">
      <c r="A3" s="195"/>
      <c r="B3" s="54" t="s">
        <v>226</v>
      </c>
      <c r="C3" s="54" t="s">
        <v>227</v>
      </c>
      <c r="D3" s="54" t="s">
        <v>228</v>
      </c>
      <c r="E3" s="54" t="s">
        <v>229</v>
      </c>
      <c r="F3" s="54" t="s">
        <v>230</v>
      </c>
      <c r="G3" s="53" t="s">
        <v>233</v>
      </c>
      <c r="H3" s="54" t="s">
        <v>231</v>
      </c>
    </row>
    <row r="4" spans="1:8" ht="24.95" customHeight="1">
      <c r="A4" s="49" t="s">
        <v>4</v>
      </c>
      <c r="B4" s="50" t="s">
        <v>187</v>
      </c>
      <c r="C4" s="50" t="s">
        <v>188</v>
      </c>
      <c r="D4" s="50" t="s">
        <v>189</v>
      </c>
      <c r="E4" s="50" t="s">
        <v>190</v>
      </c>
      <c r="F4" s="50" t="s">
        <v>191</v>
      </c>
      <c r="G4" s="50" t="s">
        <v>192</v>
      </c>
      <c r="H4" s="51" t="s">
        <v>193</v>
      </c>
    </row>
    <row r="5" spans="1:8" ht="24.95" customHeight="1">
      <c r="A5" s="49" t="s">
        <v>194</v>
      </c>
      <c r="B5" s="50" t="s">
        <v>195</v>
      </c>
      <c r="C5" s="50" t="s">
        <v>196</v>
      </c>
      <c r="D5" s="50" t="s">
        <v>197</v>
      </c>
      <c r="E5" s="50" t="s">
        <v>198</v>
      </c>
      <c r="F5" s="50" t="s">
        <v>199</v>
      </c>
      <c r="G5" s="50" t="s">
        <v>200</v>
      </c>
      <c r="H5" s="51" t="s">
        <v>201</v>
      </c>
    </row>
    <row r="6" spans="1:8" ht="24.95" customHeight="1">
      <c r="A6" s="49" t="s">
        <v>202</v>
      </c>
      <c r="B6" s="50" t="s">
        <v>203</v>
      </c>
      <c r="C6" s="50" t="s">
        <v>204</v>
      </c>
      <c r="D6" s="50" t="s">
        <v>205</v>
      </c>
      <c r="E6" s="50" t="s">
        <v>206</v>
      </c>
      <c r="F6" s="50" t="s">
        <v>207</v>
      </c>
      <c r="G6" s="50" t="s">
        <v>208</v>
      </c>
      <c r="H6" s="51" t="s">
        <v>209</v>
      </c>
    </row>
    <row r="7" spans="1:8" ht="24.95" customHeight="1">
      <c r="A7" s="49" t="s">
        <v>210</v>
      </c>
      <c r="B7" s="50" t="s">
        <v>211</v>
      </c>
      <c r="C7" s="50" t="s">
        <v>212</v>
      </c>
      <c r="D7" s="50" t="s">
        <v>213</v>
      </c>
      <c r="E7" s="50" t="s">
        <v>214</v>
      </c>
      <c r="F7" s="50" t="s">
        <v>215</v>
      </c>
      <c r="G7" s="50" t="s">
        <v>216</v>
      </c>
      <c r="H7" s="51" t="s">
        <v>217</v>
      </c>
    </row>
    <row r="8" spans="1:8" ht="24.95" customHeight="1">
      <c r="A8" s="49" t="s">
        <v>218</v>
      </c>
      <c r="B8" s="50" t="s">
        <v>219</v>
      </c>
      <c r="C8" s="50" t="s">
        <v>220</v>
      </c>
      <c r="D8" s="50" t="s">
        <v>221</v>
      </c>
      <c r="E8" s="50" t="s">
        <v>222</v>
      </c>
      <c r="F8" s="50" t="s">
        <v>223</v>
      </c>
      <c r="G8" s="50" t="s">
        <v>224</v>
      </c>
      <c r="H8" s="51" t="s">
        <v>225</v>
      </c>
    </row>
    <row r="9" spans="1:8" ht="24.95" customHeight="1">
      <c r="A9" s="129" t="s">
        <v>300</v>
      </c>
      <c r="B9" s="50" t="s">
        <v>302</v>
      </c>
      <c r="C9" s="50" t="s">
        <v>304</v>
      </c>
      <c r="D9" s="50" t="s">
        <v>306</v>
      </c>
      <c r="E9" s="50" t="s">
        <v>307</v>
      </c>
      <c r="F9" s="50" t="s">
        <v>303</v>
      </c>
      <c r="G9" s="50" t="s">
        <v>308</v>
      </c>
      <c r="H9" s="51" t="s">
        <v>309</v>
      </c>
    </row>
    <row r="10" spans="1:8" ht="24.95" customHeight="1">
      <c r="A10" s="49" t="s">
        <v>301</v>
      </c>
      <c r="B10" s="50" t="s">
        <v>303</v>
      </c>
      <c r="C10" s="50" t="s">
        <v>305</v>
      </c>
      <c r="D10" s="50" t="s">
        <v>305</v>
      </c>
      <c r="E10" s="50" t="s">
        <v>303</v>
      </c>
      <c r="F10" s="50" t="s">
        <v>303</v>
      </c>
      <c r="G10" s="50" t="s">
        <v>303</v>
      </c>
      <c r="H10" s="50" t="s">
        <v>303</v>
      </c>
    </row>
    <row r="11" spans="1:8" ht="15" customHeight="1">
      <c r="A11" s="196" t="s">
        <v>240</v>
      </c>
      <c r="B11" s="197"/>
    </row>
  </sheetData>
  <mergeCells count="3">
    <mergeCell ref="A1:H1"/>
    <mergeCell ref="A2:A3"/>
    <mergeCell ref="A11:B11"/>
  </mergeCells>
  <phoneticPr fontId="5"/>
  <pageMargins left="0.7" right="0.7" top="0.75" bottom="0.75" header="0.3" footer="0.3"/>
  <pageSetup paperSize="9" orientation="portrait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37"/>
  <sheetViews>
    <sheetView topLeftCell="C4" workbookViewId="0">
      <selection activeCell="S34" sqref="S34"/>
    </sheetView>
  </sheetViews>
  <sheetFormatPr defaultRowHeight="13.5"/>
  <cols>
    <col min="1" max="1" width="7.625" customWidth="1"/>
    <col min="2" max="16" width="8.125" customWidth="1"/>
    <col min="18" max="18" width="9.875" bestFit="1" customWidth="1"/>
    <col min="257" max="257" width="7.625" customWidth="1"/>
    <col min="258" max="272" width="8.125" customWidth="1"/>
    <col min="274" max="274" width="9.875" bestFit="1" customWidth="1"/>
    <col min="513" max="513" width="7.625" customWidth="1"/>
    <col min="514" max="528" width="8.125" customWidth="1"/>
    <col min="530" max="530" width="9.875" bestFit="1" customWidth="1"/>
    <col min="769" max="769" width="7.625" customWidth="1"/>
    <col min="770" max="784" width="8.125" customWidth="1"/>
    <col min="786" max="786" width="9.875" bestFit="1" customWidth="1"/>
    <col min="1025" max="1025" width="7.625" customWidth="1"/>
    <col min="1026" max="1040" width="8.125" customWidth="1"/>
    <col min="1042" max="1042" width="9.875" bestFit="1" customWidth="1"/>
    <col min="1281" max="1281" width="7.625" customWidth="1"/>
    <col min="1282" max="1296" width="8.125" customWidth="1"/>
    <col min="1298" max="1298" width="9.875" bestFit="1" customWidth="1"/>
    <col min="1537" max="1537" width="7.625" customWidth="1"/>
    <col min="1538" max="1552" width="8.125" customWidth="1"/>
    <col min="1554" max="1554" width="9.875" bestFit="1" customWidth="1"/>
    <col min="1793" max="1793" width="7.625" customWidth="1"/>
    <col min="1794" max="1808" width="8.125" customWidth="1"/>
    <col min="1810" max="1810" width="9.875" bestFit="1" customWidth="1"/>
    <col min="2049" max="2049" width="7.625" customWidth="1"/>
    <col min="2050" max="2064" width="8.125" customWidth="1"/>
    <col min="2066" max="2066" width="9.875" bestFit="1" customWidth="1"/>
    <col min="2305" max="2305" width="7.625" customWidth="1"/>
    <col min="2306" max="2320" width="8.125" customWidth="1"/>
    <col min="2322" max="2322" width="9.875" bestFit="1" customWidth="1"/>
    <col min="2561" max="2561" width="7.625" customWidth="1"/>
    <col min="2562" max="2576" width="8.125" customWidth="1"/>
    <col min="2578" max="2578" width="9.875" bestFit="1" customWidth="1"/>
    <col min="2817" max="2817" width="7.625" customWidth="1"/>
    <col min="2818" max="2832" width="8.125" customWidth="1"/>
    <col min="2834" max="2834" width="9.875" bestFit="1" customWidth="1"/>
    <col min="3073" max="3073" width="7.625" customWidth="1"/>
    <col min="3074" max="3088" width="8.125" customWidth="1"/>
    <col min="3090" max="3090" width="9.875" bestFit="1" customWidth="1"/>
    <col min="3329" max="3329" width="7.625" customWidth="1"/>
    <col min="3330" max="3344" width="8.125" customWidth="1"/>
    <col min="3346" max="3346" width="9.875" bestFit="1" customWidth="1"/>
    <col min="3585" max="3585" width="7.625" customWidth="1"/>
    <col min="3586" max="3600" width="8.125" customWidth="1"/>
    <col min="3602" max="3602" width="9.875" bestFit="1" customWidth="1"/>
    <col min="3841" max="3841" width="7.625" customWidth="1"/>
    <col min="3842" max="3856" width="8.125" customWidth="1"/>
    <col min="3858" max="3858" width="9.875" bestFit="1" customWidth="1"/>
    <col min="4097" max="4097" width="7.625" customWidth="1"/>
    <col min="4098" max="4112" width="8.125" customWidth="1"/>
    <col min="4114" max="4114" width="9.875" bestFit="1" customWidth="1"/>
    <col min="4353" max="4353" width="7.625" customWidth="1"/>
    <col min="4354" max="4368" width="8.125" customWidth="1"/>
    <col min="4370" max="4370" width="9.875" bestFit="1" customWidth="1"/>
    <col min="4609" max="4609" width="7.625" customWidth="1"/>
    <col min="4610" max="4624" width="8.125" customWidth="1"/>
    <col min="4626" max="4626" width="9.875" bestFit="1" customWidth="1"/>
    <col min="4865" max="4865" width="7.625" customWidth="1"/>
    <col min="4866" max="4880" width="8.125" customWidth="1"/>
    <col min="4882" max="4882" width="9.875" bestFit="1" customWidth="1"/>
    <col min="5121" max="5121" width="7.625" customWidth="1"/>
    <col min="5122" max="5136" width="8.125" customWidth="1"/>
    <col min="5138" max="5138" width="9.875" bestFit="1" customWidth="1"/>
    <col min="5377" max="5377" width="7.625" customWidth="1"/>
    <col min="5378" max="5392" width="8.125" customWidth="1"/>
    <col min="5394" max="5394" width="9.875" bestFit="1" customWidth="1"/>
    <col min="5633" max="5633" width="7.625" customWidth="1"/>
    <col min="5634" max="5648" width="8.125" customWidth="1"/>
    <col min="5650" max="5650" width="9.875" bestFit="1" customWidth="1"/>
    <col min="5889" max="5889" width="7.625" customWidth="1"/>
    <col min="5890" max="5904" width="8.125" customWidth="1"/>
    <col min="5906" max="5906" width="9.875" bestFit="1" customWidth="1"/>
    <col min="6145" max="6145" width="7.625" customWidth="1"/>
    <col min="6146" max="6160" width="8.125" customWidth="1"/>
    <col min="6162" max="6162" width="9.875" bestFit="1" customWidth="1"/>
    <col min="6401" max="6401" width="7.625" customWidth="1"/>
    <col min="6402" max="6416" width="8.125" customWidth="1"/>
    <col min="6418" max="6418" width="9.875" bestFit="1" customWidth="1"/>
    <col min="6657" max="6657" width="7.625" customWidth="1"/>
    <col min="6658" max="6672" width="8.125" customWidth="1"/>
    <col min="6674" max="6674" width="9.875" bestFit="1" customWidth="1"/>
    <col min="6913" max="6913" width="7.625" customWidth="1"/>
    <col min="6914" max="6928" width="8.125" customWidth="1"/>
    <col min="6930" max="6930" width="9.875" bestFit="1" customWidth="1"/>
    <col min="7169" max="7169" width="7.625" customWidth="1"/>
    <col min="7170" max="7184" width="8.125" customWidth="1"/>
    <col min="7186" max="7186" width="9.875" bestFit="1" customWidth="1"/>
    <col min="7425" max="7425" width="7.625" customWidth="1"/>
    <col min="7426" max="7440" width="8.125" customWidth="1"/>
    <col min="7442" max="7442" width="9.875" bestFit="1" customWidth="1"/>
    <col min="7681" max="7681" width="7.625" customWidth="1"/>
    <col min="7682" max="7696" width="8.125" customWidth="1"/>
    <col min="7698" max="7698" width="9.875" bestFit="1" customWidth="1"/>
    <col min="7937" max="7937" width="7.625" customWidth="1"/>
    <col min="7938" max="7952" width="8.125" customWidth="1"/>
    <col min="7954" max="7954" width="9.875" bestFit="1" customWidth="1"/>
    <col min="8193" max="8193" width="7.625" customWidth="1"/>
    <col min="8194" max="8208" width="8.125" customWidth="1"/>
    <col min="8210" max="8210" width="9.875" bestFit="1" customWidth="1"/>
    <col min="8449" max="8449" width="7.625" customWidth="1"/>
    <col min="8450" max="8464" width="8.125" customWidth="1"/>
    <col min="8466" max="8466" width="9.875" bestFit="1" customWidth="1"/>
    <col min="8705" max="8705" width="7.625" customWidth="1"/>
    <col min="8706" max="8720" width="8.125" customWidth="1"/>
    <col min="8722" max="8722" width="9.875" bestFit="1" customWidth="1"/>
    <col min="8961" max="8961" width="7.625" customWidth="1"/>
    <col min="8962" max="8976" width="8.125" customWidth="1"/>
    <col min="8978" max="8978" width="9.875" bestFit="1" customWidth="1"/>
    <col min="9217" max="9217" width="7.625" customWidth="1"/>
    <col min="9218" max="9232" width="8.125" customWidth="1"/>
    <col min="9234" max="9234" width="9.875" bestFit="1" customWidth="1"/>
    <col min="9473" max="9473" width="7.625" customWidth="1"/>
    <col min="9474" max="9488" width="8.125" customWidth="1"/>
    <col min="9490" max="9490" width="9.875" bestFit="1" customWidth="1"/>
    <col min="9729" max="9729" width="7.625" customWidth="1"/>
    <col min="9730" max="9744" width="8.125" customWidth="1"/>
    <col min="9746" max="9746" width="9.875" bestFit="1" customWidth="1"/>
    <col min="9985" max="9985" width="7.625" customWidth="1"/>
    <col min="9986" max="10000" width="8.125" customWidth="1"/>
    <col min="10002" max="10002" width="9.875" bestFit="1" customWidth="1"/>
    <col min="10241" max="10241" width="7.625" customWidth="1"/>
    <col min="10242" max="10256" width="8.125" customWidth="1"/>
    <col min="10258" max="10258" width="9.875" bestFit="1" customWidth="1"/>
    <col min="10497" max="10497" width="7.625" customWidth="1"/>
    <col min="10498" max="10512" width="8.125" customWidth="1"/>
    <col min="10514" max="10514" width="9.875" bestFit="1" customWidth="1"/>
    <col min="10753" max="10753" width="7.625" customWidth="1"/>
    <col min="10754" max="10768" width="8.125" customWidth="1"/>
    <col min="10770" max="10770" width="9.875" bestFit="1" customWidth="1"/>
    <col min="11009" max="11009" width="7.625" customWidth="1"/>
    <col min="11010" max="11024" width="8.125" customWidth="1"/>
    <col min="11026" max="11026" width="9.875" bestFit="1" customWidth="1"/>
    <col min="11265" max="11265" width="7.625" customWidth="1"/>
    <col min="11266" max="11280" width="8.125" customWidth="1"/>
    <col min="11282" max="11282" width="9.875" bestFit="1" customWidth="1"/>
    <col min="11521" max="11521" width="7.625" customWidth="1"/>
    <col min="11522" max="11536" width="8.125" customWidth="1"/>
    <col min="11538" max="11538" width="9.875" bestFit="1" customWidth="1"/>
    <col min="11777" max="11777" width="7.625" customWidth="1"/>
    <col min="11778" max="11792" width="8.125" customWidth="1"/>
    <col min="11794" max="11794" width="9.875" bestFit="1" customWidth="1"/>
    <col min="12033" max="12033" width="7.625" customWidth="1"/>
    <col min="12034" max="12048" width="8.125" customWidth="1"/>
    <col min="12050" max="12050" width="9.875" bestFit="1" customWidth="1"/>
    <col min="12289" max="12289" width="7.625" customWidth="1"/>
    <col min="12290" max="12304" width="8.125" customWidth="1"/>
    <col min="12306" max="12306" width="9.875" bestFit="1" customWidth="1"/>
    <col min="12545" max="12545" width="7.625" customWidth="1"/>
    <col min="12546" max="12560" width="8.125" customWidth="1"/>
    <col min="12562" max="12562" width="9.875" bestFit="1" customWidth="1"/>
    <col min="12801" max="12801" width="7.625" customWidth="1"/>
    <col min="12802" max="12816" width="8.125" customWidth="1"/>
    <col min="12818" max="12818" width="9.875" bestFit="1" customWidth="1"/>
    <col min="13057" max="13057" width="7.625" customWidth="1"/>
    <col min="13058" max="13072" width="8.125" customWidth="1"/>
    <col min="13074" max="13074" width="9.875" bestFit="1" customWidth="1"/>
    <col min="13313" max="13313" width="7.625" customWidth="1"/>
    <col min="13314" max="13328" width="8.125" customWidth="1"/>
    <col min="13330" max="13330" width="9.875" bestFit="1" customWidth="1"/>
    <col min="13569" max="13569" width="7.625" customWidth="1"/>
    <col min="13570" max="13584" width="8.125" customWidth="1"/>
    <col min="13586" max="13586" width="9.875" bestFit="1" customWidth="1"/>
    <col min="13825" max="13825" width="7.625" customWidth="1"/>
    <col min="13826" max="13840" width="8.125" customWidth="1"/>
    <col min="13842" max="13842" width="9.875" bestFit="1" customWidth="1"/>
    <col min="14081" max="14081" width="7.625" customWidth="1"/>
    <col min="14082" max="14096" width="8.125" customWidth="1"/>
    <col min="14098" max="14098" width="9.875" bestFit="1" customWidth="1"/>
    <col min="14337" max="14337" width="7.625" customWidth="1"/>
    <col min="14338" max="14352" width="8.125" customWidth="1"/>
    <col min="14354" max="14354" width="9.875" bestFit="1" customWidth="1"/>
    <col min="14593" max="14593" width="7.625" customWidth="1"/>
    <col min="14594" max="14608" width="8.125" customWidth="1"/>
    <col min="14610" max="14610" width="9.875" bestFit="1" customWidth="1"/>
    <col min="14849" max="14849" width="7.625" customWidth="1"/>
    <col min="14850" max="14864" width="8.125" customWidth="1"/>
    <col min="14866" max="14866" width="9.875" bestFit="1" customWidth="1"/>
    <col min="15105" max="15105" width="7.625" customWidth="1"/>
    <col min="15106" max="15120" width="8.125" customWidth="1"/>
    <col min="15122" max="15122" width="9.875" bestFit="1" customWidth="1"/>
    <col min="15361" max="15361" width="7.625" customWidth="1"/>
    <col min="15362" max="15376" width="8.125" customWidth="1"/>
    <col min="15378" max="15378" width="9.875" bestFit="1" customWidth="1"/>
    <col min="15617" max="15617" width="7.625" customWidth="1"/>
    <col min="15618" max="15632" width="8.125" customWidth="1"/>
    <col min="15634" max="15634" width="9.875" bestFit="1" customWidth="1"/>
    <col min="15873" max="15873" width="7.625" customWidth="1"/>
    <col min="15874" max="15888" width="8.125" customWidth="1"/>
    <col min="15890" max="15890" width="9.875" bestFit="1" customWidth="1"/>
    <col min="16129" max="16129" width="7.625" customWidth="1"/>
    <col min="16130" max="16144" width="8.125" customWidth="1"/>
    <col min="16146" max="16146" width="9.875" bestFit="1" customWidth="1"/>
  </cols>
  <sheetData>
    <row r="4" spans="17:18">
      <c r="Q4" s="55" t="s">
        <v>241</v>
      </c>
      <c r="R4" s="56" t="s">
        <v>242</v>
      </c>
    </row>
    <row r="5" spans="17:18">
      <c r="Q5" s="55" t="s">
        <v>243</v>
      </c>
      <c r="R5" s="57">
        <v>4241783</v>
      </c>
    </row>
    <row r="6" spans="17:18">
      <c r="Q6" s="58">
        <v>2</v>
      </c>
      <c r="R6" s="57">
        <v>4697047</v>
      </c>
    </row>
    <row r="7" spans="17:18">
      <c r="Q7" s="58">
        <v>3</v>
      </c>
      <c r="R7" s="57">
        <v>4437964</v>
      </c>
    </row>
    <row r="8" spans="17:18">
      <c r="Q8" s="58">
        <v>4</v>
      </c>
      <c r="R8" s="57">
        <v>4677020</v>
      </c>
    </row>
    <row r="9" spans="17:18">
      <c r="Q9" s="58">
        <v>5</v>
      </c>
      <c r="R9" s="57">
        <v>4663372</v>
      </c>
    </row>
    <row r="10" spans="17:18">
      <c r="Q10" s="58">
        <v>6</v>
      </c>
      <c r="R10" s="57">
        <v>5210727</v>
      </c>
    </row>
    <row r="11" spans="17:18">
      <c r="Q11" s="58">
        <v>7</v>
      </c>
      <c r="R11" s="57">
        <v>5825404</v>
      </c>
    </row>
    <row r="12" spans="17:18">
      <c r="Q12" s="58">
        <v>8</v>
      </c>
      <c r="R12" s="57">
        <v>6236438</v>
      </c>
    </row>
    <row r="13" spans="17:18">
      <c r="Q13" s="58">
        <v>9</v>
      </c>
      <c r="R13" s="57">
        <v>5811526</v>
      </c>
    </row>
    <row r="14" spans="17:18">
      <c r="Q14" s="58">
        <v>10</v>
      </c>
      <c r="R14" s="57">
        <v>5372272</v>
      </c>
    </row>
    <row r="15" spans="17:18">
      <c r="Q15" s="58">
        <v>11</v>
      </c>
      <c r="R15" s="57">
        <v>5611979</v>
      </c>
    </row>
    <row r="16" spans="17:18">
      <c r="Q16" s="58">
        <v>12</v>
      </c>
      <c r="R16" s="57">
        <v>5857835</v>
      </c>
    </row>
    <row r="17" spans="17:18">
      <c r="Q17" s="58">
        <v>13</v>
      </c>
      <c r="R17" s="57">
        <v>4348881</v>
      </c>
    </row>
    <row r="18" spans="17:18">
      <c r="Q18" s="58">
        <v>14</v>
      </c>
      <c r="R18" s="57">
        <v>3749166</v>
      </c>
    </row>
    <row r="19" spans="17:18">
      <c r="Q19" s="58">
        <v>15</v>
      </c>
      <c r="R19" s="57">
        <v>2721029</v>
      </c>
    </row>
    <row r="20" spans="17:18">
      <c r="Q20" s="58">
        <v>16</v>
      </c>
      <c r="R20" s="57">
        <v>3485325</v>
      </c>
    </row>
    <row r="21" spans="17:18">
      <c r="Q21" s="58">
        <v>17</v>
      </c>
      <c r="R21" s="57">
        <v>3612473</v>
      </c>
    </row>
    <row r="22" spans="17:18">
      <c r="Q22" s="58">
        <v>18</v>
      </c>
      <c r="R22" s="57">
        <v>4302191</v>
      </c>
    </row>
    <row r="23" spans="17:18">
      <c r="Q23" s="58">
        <v>19</v>
      </c>
      <c r="R23" s="57">
        <v>4209097</v>
      </c>
    </row>
    <row r="24" spans="17:18">
      <c r="Q24" s="58">
        <v>20</v>
      </c>
      <c r="R24" s="57">
        <v>3801384</v>
      </c>
    </row>
    <row r="25" spans="17:18">
      <c r="Q25" s="58">
        <v>21</v>
      </c>
      <c r="R25" s="57">
        <v>4015470</v>
      </c>
    </row>
    <row r="26" spans="17:18">
      <c r="Q26" s="58">
        <v>22</v>
      </c>
      <c r="R26" s="57">
        <v>4185080</v>
      </c>
    </row>
    <row r="27" spans="17:18">
      <c r="Q27" s="58">
        <v>23</v>
      </c>
      <c r="R27" s="57">
        <v>3961382</v>
      </c>
    </row>
    <row r="28" spans="17:18">
      <c r="Q28" s="59">
        <v>24</v>
      </c>
      <c r="R28" s="60">
        <v>3924008</v>
      </c>
    </row>
    <row r="29" spans="17:18">
      <c r="Q29" s="59">
        <v>25</v>
      </c>
      <c r="R29" s="150">
        <v>3296805</v>
      </c>
    </row>
    <row r="33" spans="1:16" ht="20.100000000000001" customHeight="1">
      <c r="A33" s="61" t="s">
        <v>241</v>
      </c>
      <c r="B33" s="62" t="s">
        <v>244</v>
      </c>
      <c r="C33" s="62">
        <v>2</v>
      </c>
      <c r="D33" s="62">
        <v>3</v>
      </c>
      <c r="E33" s="62">
        <v>4</v>
      </c>
      <c r="F33" s="62">
        <v>5</v>
      </c>
      <c r="G33" s="62">
        <v>6</v>
      </c>
      <c r="H33" s="62">
        <v>7</v>
      </c>
      <c r="I33" s="62">
        <v>8</v>
      </c>
      <c r="J33" s="62">
        <v>9</v>
      </c>
      <c r="K33" s="62">
        <v>10</v>
      </c>
      <c r="L33" s="62">
        <v>11</v>
      </c>
      <c r="M33" s="62">
        <v>12</v>
      </c>
      <c r="N33" s="62">
        <v>13</v>
      </c>
      <c r="O33" s="62">
        <v>14</v>
      </c>
      <c r="P33" s="62">
        <v>15</v>
      </c>
    </row>
    <row r="34" spans="1:16" ht="20.100000000000001" customHeight="1">
      <c r="A34" s="61" t="s">
        <v>242</v>
      </c>
      <c r="B34" s="63">
        <v>4241783</v>
      </c>
      <c r="C34" s="63">
        <v>4697047</v>
      </c>
      <c r="D34" s="63">
        <v>4437964</v>
      </c>
      <c r="E34" s="63">
        <v>4677020</v>
      </c>
      <c r="F34" s="63">
        <v>4663372</v>
      </c>
      <c r="G34" s="63">
        <v>5210727</v>
      </c>
      <c r="H34" s="63">
        <v>5825404</v>
      </c>
      <c r="I34" s="63">
        <v>6236438</v>
      </c>
      <c r="J34" s="63">
        <v>5811526</v>
      </c>
      <c r="K34" s="63">
        <v>5372272</v>
      </c>
      <c r="L34" s="63">
        <v>5611979</v>
      </c>
      <c r="M34" s="63">
        <v>5857835</v>
      </c>
      <c r="N34" s="63">
        <v>4348881</v>
      </c>
      <c r="O34" s="63">
        <v>3749166</v>
      </c>
      <c r="P34" s="63">
        <v>2721029</v>
      </c>
    </row>
    <row r="35" spans="1:16" ht="20.100000000000001" customHeight="1"/>
    <row r="36" spans="1:16" ht="20.100000000000001" customHeight="1">
      <c r="A36" s="61" t="s">
        <v>241</v>
      </c>
      <c r="B36" s="62">
        <v>16</v>
      </c>
      <c r="C36" s="62">
        <v>17</v>
      </c>
      <c r="D36" s="62">
        <v>18</v>
      </c>
      <c r="E36" s="62">
        <v>19</v>
      </c>
      <c r="F36" s="64">
        <v>20</v>
      </c>
      <c r="G36" s="64">
        <v>21</v>
      </c>
      <c r="H36" s="64">
        <v>22</v>
      </c>
      <c r="I36" s="64">
        <v>23</v>
      </c>
      <c r="J36" s="66">
        <v>24</v>
      </c>
      <c r="K36" s="67">
        <v>25</v>
      </c>
    </row>
    <row r="37" spans="1:16" ht="20.100000000000001" customHeight="1">
      <c r="A37" s="61" t="s">
        <v>242</v>
      </c>
      <c r="B37" s="63">
        <v>3485325</v>
      </c>
      <c r="C37" s="63">
        <v>3612473</v>
      </c>
      <c r="D37" s="63">
        <v>4302191</v>
      </c>
      <c r="E37" s="63">
        <v>4209097</v>
      </c>
      <c r="F37" s="63">
        <v>3801385</v>
      </c>
      <c r="G37" s="63">
        <v>4015470</v>
      </c>
      <c r="H37" s="63">
        <v>4185080</v>
      </c>
      <c r="I37" s="63">
        <v>3961382</v>
      </c>
      <c r="J37" s="65">
        <v>3924008</v>
      </c>
      <c r="K37" s="149">
        <v>3296805</v>
      </c>
      <c r="L37" s="130"/>
      <c r="M37" s="131"/>
    </row>
  </sheetData>
  <phoneticPr fontId="5"/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>
      <pane xSplit="1" ySplit="3" topLeftCell="B8" activePane="bottomRight" state="frozen"/>
      <selection pane="topRight" activeCell="B1" sqref="B1"/>
      <selection pane="bottomLeft" activeCell="A4" sqref="A4"/>
      <selection pane="bottomRight" activeCell="P36" sqref="P36"/>
    </sheetView>
  </sheetViews>
  <sheetFormatPr defaultRowHeight="13.5"/>
  <cols>
    <col min="2" max="26" width="8.625" customWidth="1"/>
  </cols>
  <sheetData>
    <row r="1" spans="1:26" ht="19.5" thickBo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 t="s">
        <v>245</v>
      </c>
      <c r="O1" s="68"/>
      <c r="P1" s="68"/>
      <c r="Q1" s="68"/>
      <c r="R1" s="70"/>
    </row>
    <row r="2" spans="1:26" ht="50.1" customHeight="1">
      <c r="A2" s="83" t="s">
        <v>296</v>
      </c>
      <c r="B2" s="84" t="s">
        <v>246</v>
      </c>
      <c r="C2" s="84" t="s">
        <v>247</v>
      </c>
      <c r="D2" s="84" t="s">
        <v>248</v>
      </c>
      <c r="E2" s="84" t="s">
        <v>249</v>
      </c>
      <c r="F2" s="84" t="s">
        <v>250</v>
      </c>
      <c r="G2" s="84" t="s">
        <v>251</v>
      </c>
      <c r="H2" s="84" t="s">
        <v>252</v>
      </c>
      <c r="I2" s="84" t="s">
        <v>253</v>
      </c>
      <c r="J2" s="84" t="s">
        <v>254</v>
      </c>
      <c r="K2" s="84" t="s">
        <v>255</v>
      </c>
      <c r="L2" s="84" t="s">
        <v>256</v>
      </c>
      <c r="M2" s="84" t="s">
        <v>257</v>
      </c>
      <c r="N2" s="84" t="s">
        <v>258</v>
      </c>
      <c r="O2" s="84" t="s">
        <v>259</v>
      </c>
      <c r="P2" s="84" t="s">
        <v>260</v>
      </c>
      <c r="Q2" s="84" t="s">
        <v>261</v>
      </c>
      <c r="R2" s="85" t="s">
        <v>262</v>
      </c>
      <c r="S2" s="86" t="s">
        <v>263</v>
      </c>
      <c r="T2" s="86" t="s">
        <v>264</v>
      </c>
      <c r="U2" s="87" t="s">
        <v>265</v>
      </c>
      <c r="V2" s="86" t="s">
        <v>266</v>
      </c>
      <c r="W2" s="87" t="s">
        <v>267</v>
      </c>
      <c r="X2" s="87" t="s">
        <v>268</v>
      </c>
      <c r="Y2" s="87" t="s">
        <v>269</v>
      </c>
      <c r="Z2" s="88" t="s">
        <v>298</v>
      </c>
    </row>
    <row r="3" spans="1:26" ht="20.100000000000001" customHeight="1">
      <c r="A3" s="89"/>
      <c r="B3" s="90" t="s">
        <v>243</v>
      </c>
      <c r="C3" s="90" t="s">
        <v>270</v>
      </c>
      <c r="D3" s="90" t="s">
        <v>271</v>
      </c>
      <c r="E3" s="90" t="s">
        <v>272</v>
      </c>
      <c r="F3" s="90" t="s">
        <v>273</v>
      </c>
      <c r="G3" s="90" t="s">
        <v>274</v>
      </c>
      <c r="H3" s="90" t="s">
        <v>275</v>
      </c>
      <c r="I3" s="90" t="s">
        <v>276</v>
      </c>
      <c r="J3" s="90" t="s">
        <v>277</v>
      </c>
      <c r="K3" s="90" t="s">
        <v>278</v>
      </c>
      <c r="L3" s="90" t="s">
        <v>279</v>
      </c>
      <c r="M3" s="90" t="s">
        <v>280</v>
      </c>
      <c r="N3" s="90" t="s">
        <v>281</v>
      </c>
      <c r="O3" s="90" t="s">
        <v>282</v>
      </c>
      <c r="P3" s="90" t="s">
        <v>283</v>
      </c>
      <c r="Q3" s="90" t="s">
        <v>284</v>
      </c>
      <c r="R3" s="90" t="s">
        <v>285</v>
      </c>
      <c r="S3" s="90" t="s">
        <v>286</v>
      </c>
      <c r="T3" s="91" t="s">
        <v>287</v>
      </c>
      <c r="U3" s="92" t="s">
        <v>288</v>
      </c>
      <c r="V3" s="93" t="s">
        <v>289</v>
      </c>
      <c r="W3" s="94" t="s">
        <v>290</v>
      </c>
      <c r="X3" s="94" t="s">
        <v>291</v>
      </c>
      <c r="Y3" s="105" t="s">
        <v>292</v>
      </c>
      <c r="Z3" s="95" t="s">
        <v>297</v>
      </c>
    </row>
    <row r="4" spans="1:26" ht="20.100000000000001" customHeight="1">
      <c r="A4" s="96" t="s">
        <v>293</v>
      </c>
      <c r="B4" s="97">
        <f t="shared" ref="B4:S4" si="0">B5+B6</f>
        <v>30139</v>
      </c>
      <c r="C4" s="97">
        <f t="shared" si="0"/>
        <v>33324</v>
      </c>
      <c r="D4" s="97">
        <f t="shared" si="0"/>
        <v>31709</v>
      </c>
      <c r="E4" s="97">
        <f t="shared" si="0"/>
        <v>32674</v>
      </c>
      <c r="F4" s="97">
        <f t="shared" si="0"/>
        <v>35694</v>
      </c>
      <c r="G4" s="97">
        <f t="shared" si="0"/>
        <v>39602</v>
      </c>
      <c r="H4" s="97">
        <f t="shared" si="0"/>
        <v>44239</v>
      </c>
      <c r="I4" s="97">
        <f t="shared" si="0"/>
        <v>43920</v>
      </c>
      <c r="J4" s="97">
        <f t="shared" si="0"/>
        <v>40661</v>
      </c>
      <c r="K4" s="97">
        <f t="shared" si="0"/>
        <v>36817</v>
      </c>
      <c r="L4" s="97">
        <f t="shared" si="0"/>
        <v>34143</v>
      </c>
      <c r="M4" s="98">
        <f t="shared" si="0"/>
        <v>41257</v>
      </c>
      <c r="N4" s="98">
        <f t="shared" si="0"/>
        <v>41516</v>
      </c>
      <c r="O4" s="98">
        <f t="shared" si="0"/>
        <v>46432</v>
      </c>
      <c r="P4" s="98">
        <f t="shared" si="0"/>
        <v>43547</v>
      </c>
      <c r="Q4" s="98">
        <f t="shared" si="0"/>
        <v>51231</v>
      </c>
      <c r="R4" s="99">
        <f t="shared" si="0"/>
        <v>51538</v>
      </c>
      <c r="S4" s="98">
        <f t="shared" si="0"/>
        <v>48980</v>
      </c>
      <c r="T4" s="98">
        <f>T5+T6</f>
        <v>48961</v>
      </c>
      <c r="U4" s="99">
        <v>42670</v>
      </c>
      <c r="V4" s="100">
        <f>V5+V6</f>
        <v>42264</v>
      </c>
      <c r="W4" s="101">
        <f>W5+W6</f>
        <v>41739</v>
      </c>
      <c r="X4" s="102">
        <f>X5+X6</f>
        <v>42498</v>
      </c>
      <c r="Y4" s="102">
        <f>Y5+Y6</f>
        <v>42872</v>
      </c>
      <c r="Z4" s="108">
        <f>Z5+Z6</f>
        <v>40005</v>
      </c>
    </row>
    <row r="5" spans="1:26" ht="20.100000000000001" customHeight="1">
      <c r="A5" s="103" t="s">
        <v>294</v>
      </c>
      <c r="B5" s="71">
        <v>20560</v>
      </c>
      <c r="C5" s="71">
        <v>22720</v>
      </c>
      <c r="D5" s="71">
        <v>23223</v>
      </c>
      <c r="E5" s="71">
        <v>24434</v>
      </c>
      <c r="F5" s="71">
        <v>27154</v>
      </c>
      <c r="G5" s="71">
        <v>30683</v>
      </c>
      <c r="H5" s="71">
        <v>34130</v>
      </c>
      <c r="I5" s="71">
        <v>33257</v>
      </c>
      <c r="J5" s="71">
        <v>30197</v>
      </c>
      <c r="K5" s="71">
        <v>26734</v>
      </c>
      <c r="L5" s="71">
        <v>23726</v>
      </c>
      <c r="M5" s="72">
        <v>30128</v>
      </c>
      <c r="N5" s="72">
        <v>31655</v>
      </c>
      <c r="O5" s="72">
        <v>36483</v>
      </c>
      <c r="P5" s="72">
        <v>34174</v>
      </c>
      <c r="Q5" s="72">
        <v>41837</v>
      </c>
      <c r="R5" s="73">
        <v>42531</v>
      </c>
      <c r="S5" s="72">
        <v>40960</v>
      </c>
      <c r="T5" s="72">
        <v>41212</v>
      </c>
      <c r="U5" s="73">
        <v>35638</v>
      </c>
      <c r="V5" s="74">
        <v>35571</v>
      </c>
      <c r="W5" s="75">
        <v>34842</v>
      </c>
      <c r="X5" s="76">
        <v>35163</v>
      </c>
      <c r="Y5" s="106">
        <v>34914</v>
      </c>
      <c r="Z5" s="109">
        <v>32225</v>
      </c>
    </row>
    <row r="6" spans="1:26" ht="20.100000000000001" customHeight="1" thickBot="1">
      <c r="A6" s="104" t="s">
        <v>295</v>
      </c>
      <c r="B6" s="77">
        <v>9579</v>
      </c>
      <c r="C6" s="77">
        <v>10604</v>
      </c>
      <c r="D6" s="77">
        <v>8486</v>
      </c>
      <c r="E6" s="77">
        <v>8240</v>
      </c>
      <c r="F6" s="77">
        <v>8540</v>
      </c>
      <c r="G6" s="77">
        <v>8919</v>
      </c>
      <c r="H6" s="77">
        <v>10109</v>
      </c>
      <c r="I6" s="77">
        <v>10663</v>
      </c>
      <c r="J6" s="77">
        <v>10464</v>
      </c>
      <c r="K6" s="77">
        <v>10083</v>
      </c>
      <c r="L6" s="77">
        <v>10417</v>
      </c>
      <c r="M6" s="78">
        <v>11129</v>
      </c>
      <c r="N6" s="78">
        <v>9861</v>
      </c>
      <c r="O6" s="78">
        <v>9949</v>
      </c>
      <c r="P6" s="78">
        <v>9373</v>
      </c>
      <c r="Q6" s="78">
        <v>9394</v>
      </c>
      <c r="R6" s="79">
        <v>9007</v>
      </c>
      <c r="S6" s="78">
        <v>8020</v>
      </c>
      <c r="T6" s="78">
        <v>7749</v>
      </c>
      <c r="U6" s="79">
        <v>7032</v>
      </c>
      <c r="V6" s="80">
        <v>6693</v>
      </c>
      <c r="W6" s="81">
        <v>6897</v>
      </c>
      <c r="X6" s="82">
        <v>7335</v>
      </c>
      <c r="Y6" s="107">
        <v>7958</v>
      </c>
      <c r="Z6" s="110">
        <v>7780</v>
      </c>
    </row>
  </sheetData>
  <phoneticPr fontId="5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F25" sqref="F25"/>
    </sheetView>
  </sheetViews>
  <sheetFormatPr defaultRowHeight="13.5"/>
  <cols>
    <col min="1" max="1" width="5.625" customWidth="1"/>
    <col min="2" max="11" width="8.625" customWidth="1"/>
  </cols>
  <sheetData>
    <row r="1" spans="1:11" ht="20.100000000000001" customHeight="1">
      <c r="A1" s="157" t="s">
        <v>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5" customHeight="1">
      <c r="A2" s="158" t="s">
        <v>10</v>
      </c>
      <c r="B2" s="158" t="s">
        <v>11</v>
      </c>
      <c r="C2" s="158"/>
      <c r="D2" s="158" t="s">
        <v>12</v>
      </c>
      <c r="E2" s="158"/>
      <c r="F2" s="158" t="s">
        <v>13</v>
      </c>
      <c r="G2" s="158"/>
      <c r="H2" s="158" t="s">
        <v>14</v>
      </c>
      <c r="I2" s="158"/>
      <c r="J2" s="158" t="s">
        <v>15</v>
      </c>
      <c r="K2" s="158"/>
    </row>
    <row r="3" spans="1:11" ht="15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ht="15" customHeight="1">
      <c r="A4" s="134" t="s">
        <v>16</v>
      </c>
      <c r="B4" s="134" t="s">
        <v>17</v>
      </c>
      <c r="C4" s="134" t="s">
        <v>18</v>
      </c>
      <c r="D4" s="134" t="s">
        <v>17</v>
      </c>
      <c r="E4" s="134" t="s">
        <v>18</v>
      </c>
      <c r="F4" s="134" t="s">
        <v>17</v>
      </c>
      <c r="G4" s="134" t="s">
        <v>18</v>
      </c>
      <c r="H4" s="134" t="s">
        <v>17</v>
      </c>
      <c r="I4" s="134" t="s">
        <v>18</v>
      </c>
      <c r="J4" s="134" t="s">
        <v>17</v>
      </c>
      <c r="K4" s="134" t="s">
        <v>18</v>
      </c>
    </row>
    <row r="5" spans="1:11" ht="15" customHeight="1">
      <c r="A5" s="134" t="s">
        <v>19</v>
      </c>
      <c r="B5" s="135">
        <f>12789+14395+13036+16119+6822+10507+123656+164386</f>
        <v>361710</v>
      </c>
      <c r="C5" s="135">
        <f>12673+20317+12972+21361+6666+12517+119400+197927</f>
        <v>403833</v>
      </c>
      <c r="D5" s="135">
        <f>44856+37966+14842+247939</f>
        <v>345603</v>
      </c>
      <c r="E5" s="135">
        <f>53162+39258+15535+300157</f>
        <v>408112</v>
      </c>
      <c r="F5" s="135">
        <f>27186+23634+13161+238714</f>
        <v>302695</v>
      </c>
      <c r="G5" s="135">
        <v>269926</v>
      </c>
      <c r="H5" s="135">
        <f>19880+18387+9901+180024</f>
        <v>228192</v>
      </c>
      <c r="I5" s="135">
        <f>18146+18376+9483+155883</f>
        <v>201888</v>
      </c>
      <c r="J5" s="135">
        <f>15075+13557+7574+130365</f>
        <v>166571</v>
      </c>
      <c r="K5" s="135">
        <f>17899+16977+9135+138435</f>
        <v>182446</v>
      </c>
    </row>
    <row r="6" spans="1:11" ht="15" customHeight="1">
      <c r="A6" s="134" t="s">
        <v>7</v>
      </c>
      <c r="B6" s="156">
        <f>B5+C5</f>
        <v>765543</v>
      </c>
      <c r="C6" s="156"/>
      <c r="D6" s="156">
        <f t="shared" ref="D6" si="0">D5+E5</f>
        <v>753715</v>
      </c>
      <c r="E6" s="156"/>
      <c r="F6" s="156">
        <f t="shared" ref="F6" si="1">F5+G5</f>
        <v>572621</v>
      </c>
      <c r="G6" s="156"/>
      <c r="H6" s="156">
        <f t="shared" ref="H6" si="2">H5+I5</f>
        <v>430080</v>
      </c>
      <c r="I6" s="156"/>
      <c r="J6" s="156">
        <f t="shared" ref="J6" si="3">J5+K5</f>
        <v>349017</v>
      </c>
      <c r="K6" s="156"/>
    </row>
    <row r="7" spans="1:11" ht="15" customHeight="1">
      <c r="A7" s="134" t="s">
        <v>80</v>
      </c>
      <c r="B7" s="155">
        <f>B6/H13</f>
        <v>0.23220754639719365</v>
      </c>
      <c r="C7" s="155"/>
      <c r="D7" s="155">
        <f>D6/H13</f>
        <v>0.22861983041156514</v>
      </c>
      <c r="E7" s="155"/>
      <c r="F7" s="155">
        <f>F6/H13</f>
        <v>0.17368967834008989</v>
      </c>
      <c r="G7" s="155"/>
      <c r="H7" s="155">
        <f>H6/H13</f>
        <v>0.13045357550719561</v>
      </c>
      <c r="I7" s="155"/>
      <c r="J7" s="155">
        <f>J6/H13</f>
        <v>0.10586522405783781</v>
      </c>
      <c r="K7" s="155"/>
    </row>
    <row r="8" spans="1:11" ht="15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</row>
    <row r="9" spans="1:11" ht="15" customHeight="1">
      <c r="A9" s="158" t="s">
        <v>10</v>
      </c>
      <c r="B9" s="158" t="s">
        <v>20</v>
      </c>
      <c r="C9" s="158"/>
      <c r="D9" s="158" t="s">
        <v>21</v>
      </c>
      <c r="E9" s="158"/>
      <c r="F9" s="158" t="s">
        <v>22</v>
      </c>
      <c r="G9" s="158"/>
      <c r="H9" s="158" t="s">
        <v>9</v>
      </c>
      <c r="I9" s="158"/>
      <c r="J9" s="136"/>
      <c r="K9" s="136"/>
    </row>
    <row r="10" spans="1:11" ht="15" customHeight="1">
      <c r="A10" s="158"/>
      <c r="B10" s="158"/>
      <c r="C10" s="158"/>
      <c r="D10" s="158"/>
      <c r="E10" s="158"/>
      <c r="F10" s="158"/>
      <c r="G10" s="158"/>
      <c r="H10" s="158"/>
      <c r="I10" s="158"/>
      <c r="J10" s="136"/>
      <c r="K10" s="136"/>
    </row>
    <row r="11" spans="1:11" ht="15" customHeight="1">
      <c r="A11" s="134" t="s">
        <v>16</v>
      </c>
      <c r="B11" s="134" t="s">
        <v>17</v>
      </c>
      <c r="C11" s="134" t="s">
        <v>18</v>
      </c>
      <c r="D11" s="134" t="s">
        <v>17</v>
      </c>
      <c r="E11" s="134" t="s">
        <v>18</v>
      </c>
      <c r="F11" s="134" t="s">
        <v>17</v>
      </c>
      <c r="G11" s="134" t="s">
        <v>18</v>
      </c>
      <c r="H11" s="134" t="s">
        <v>17</v>
      </c>
      <c r="I11" s="134" t="s">
        <v>18</v>
      </c>
      <c r="J11" s="136"/>
      <c r="K11" s="136"/>
    </row>
    <row r="12" spans="1:11" ht="15" customHeight="1">
      <c r="A12" s="134" t="s">
        <v>19</v>
      </c>
      <c r="B12" s="135">
        <f>15120+13904+7556+108331</f>
        <v>144911</v>
      </c>
      <c r="C12" s="135">
        <f>16053+15604+8648+114294</f>
        <v>154599</v>
      </c>
      <c r="D12" s="135">
        <f>5214+4941+2568+36399</f>
        <v>49122</v>
      </c>
      <c r="E12" s="135">
        <f>5727+5703+3046+42298</f>
        <v>56774</v>
      </c>
      <c r="F12" s="135">
        <f>790+777+400+6319</f>
        <v>8286</v>
      </c>
      <c r="G12" s="135">
        <f>1093+1064+636+9344</f>
        <v>12137</v>
      </c>
      <c r="H12" s="137">
        <f>B5+D5+F5+H5+J5+B12+D12+F12</f>
        <v>1607090</v>
      </c>
      <c r="I12" s="137">
        <f>C5+E5+G5+I5+K5+C12+E12+G12</f>
        <v>1689715</v>
      </c>
      <c r="J12" s="136"/>
      <c r="K12" s="136"/>
    </row>
    <row r="13" spans="1:11" ht="15" customHeight="1">
      <c r="A13" s="134" t="s">
        <v>7</v>
      </c>
      <c r="B13" s="156">
        <f>B12+C12</f>
        <v>299510</v>
      </c>
      <c r="C13" s="156"/>
      <c r="D13" s="156">
        <f t="shared" ref="D13" si="4">D12+E12</f>
        <v>105896</v>
      </c>
      <c r="E13" s="156"/>
      <c r="F13" s="156">
        <f t="shared" ref="F13" si="5">F12+G12</f>
        <v>20423</v>
      </c>
      <c r="G13" s="156"/>
      <c r="H13" s="156">
        <f t="shared" ref="H13" si="6">H12+I12</f>
        <v>3296805</v>
      </c>
      <c r="I13" s="156"/>
      <c r="J13" s="136"/>
      <c r="K13" s="136"/>
    </row>
    <row r="14" spans="1:11">
      <c r="A14" s="138" t="s">
        <v>80</v>
      </c>
      <c r="B14" s="154">
        <f>B13/H13</f>
        <v>9.084856398846762E-2</v>
      </c>
      <c r="C14" s="154"/>
      <c r="D14" s="154">
        <f>D13/H13</f>
        <v>3.2120795740118085E-2</v>
      </c>
      <c r="E14" s="154"/>
      <c r="F14" s="154">
        <f>F13/H13</f>
        <v>6.194785557532217E-3</v>
      </c>
      <c r="G14" s="154"/>
      <c r="H14" s="139">
        <f>H12/H13</f>
        <v>0.48746892825023014</v>
      </c>
      <c r="I14" s="139">
        <f>I12/H13</f>
        <v>0.51253107174976986</v>
      </c>
      <c r="J14" s="136"/>
      <c r="K14" s="136"/>
    </row>
  </sheetData>
  <mergeCells count="29">
    <mergeCell ref="A9:A10"/>
    <mergeCell ref="B9:C10"/>
    <mergeCell ref="D9:E10"/>
    <mergeCell ref="F9:G10"/>
    <mergeCell ref="H9:I10"/>
    <mergeCell ref="A1:K1"/>
    <mergeCell ref="B6:C6"/>
    <mergeCell ref="D6:E6"/>
    <mergeCell ref="F6:G6"/>
    <mergeCell ref="H6:I6"/>
    <mergeCell ref="J6:K6"/>
    <mergeCell ref="A2:A3"/>
    <mergeCell ref="B2:C3"/>
    <mergeCell ref="D2:E3"/>
    <mergeCell ref="F2:G3"/>
    <mergeCell ref="H2:I3"/>
    <mergeCell ref="J2:K3"/>
    <mergeCell ref="H7:I7"/>
    <mergeCell ref="J7:K7"/>
    <mergeCell ref="B13:C13"/>
    <mergeCell ref="D13:E13"/>
    <mergeCell ref="F13:G13"/>
    <mergeCell ref="H13:I13"/>
    <mergeCell ref="B14:C14"/>
    <mergeCell ref="D14:E14"/>
    <mergeCell ref="F14:G14"/>
    <mergeCell ref="B7:C7"/>
    <mergeCell ref="D7:E7"/>
    <mergeCell ref="F7:G7"/>
  </mergeCells>
  <phoneticPr fontId="5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4" sqref="D4:J16"/>
    </sheetView>
  </sheetViews>
  <sheetFormatPr defaultRowHeight="13.5"/>
  <cols>
    <col min="1" max="1" width="7.625" customWidth="1"/>
    <col min="2" max="9" width="8.625" customWidth="1"/>
  </cols>
  <sheetData>
    <row r="1" spans="1:10">
      <c r="A1" s="151" t="s">
        <v>81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>
      <c r="A2" s="160" t="s">
        <v>311</v>
      </c>
      <c r="B2" s="162" t="s">
        <v>11</v>
      </c>
      <c r="C2" s="162" t="s">
        <v>12</v>
      </c>
      <c r="D2" s="162" t="s">
        <v>13</v>
      </c>
      <c r="E2" s="162" t="s">
        <v>14</v>
      </c>
      <c r="F2" s="162" t="s">
        <v>15</v>
      </c>
      <c r="G2" s="162" t="s">
        <v>20</v>
      </c>
      <c r="H2" s="162" t="s">
        <v>21</v>
      </c>
      <c r="I2" s="162" t="s">
        <v>22</v>
      </c>
      <c r="J2" s="159" t="s">
        <v>9</v>
      </c>
    </row>
    <row r="3" spans="1:10">
      <c r="A3" s="161"/>
      <c r="B3" s="162"/>
      <c r="C3" s="162"/>
      <c r="D3" s="162"/>
      <c r="E3" s="162"/>
      <c r="F3" s="162"/>
      <c r="G3" s="162"/>
      <c r="H3" s="162"/>
      <c r="I3" s="162"/>
      <c r="J3" s="159"/>
    </row>
    <row r="4" spans="1:10" ht="18" customHeight="1">
      <c r="A4" s="113">
        <v>1</v>
      </c>
      <c r="B4" s="114">
        <f>12789+14395+12673+20317</f>
        <v>60174</v>
      </c>
      <c r="C4" s="114">
        <f>44856+53162</f>
        <v>98018</v>
      </c>
      <c r="D4" s="135">
        <f>27186+24108</f>
        <v>51294</v>
      </c>
      <c r="E4" s="135">
        <f>19880+18146</f>
        <v>38026</v>
      </c>
      <c r="F4" s="135">
        <f>15075+17899</f>
        <v>32974</v>
      </c>
      <c r="G4" s="135">
        <f>15120+16053</f>
        <v>31173</v>
      </c>
      <c r="H4" s="135">
        <f>5214+5727</f>
        <v>10941</v>
      </c>
      <c r="I4" s="135">
        <f>790+1093</f>
        <v>1883</v>
      </c>
      <c r="J4" s="135">
        <f>SUM(B4:I4)</f>
        <v>324483</v>
      </c>
    </row>
    <row r="5" spans="1:10" ht="18" customHeight="1">
      <c r="A5" s="113">
        <v>2</v>
      </c>
      <c r="B5" s="114">
        <f>13036+16119+12972+21361</f>
        <v>63488</v>
      </c>
      <c r="C5" s="114">
        <f>37966+39258</f>
        <v>77224</v>
      </c>
      <c r="D5" s="135">
        <v>44593</v>
      </c>
      <c r="E5" s="135">
        <f>18387+18376</f>
        <v>36763</v>
      </c>
      <c r="F5" s="135">
        <f>13557+16977</f>
        <v>30534</v>
      </c>
      <c r="G5" s="135">
        <f>13904+15604</f>
        <v>29508</v>
      </c>
      <c r="H5" s="135">
        <f>4941+5703</f>
        <v>10644</v>
      </c>
      <c r="I5" s="135">
        <f>777+1064</f>
        <v>1841</v>
      </c>
      <c r="J5" s="135">
        <f t="shared" ref="J5:J15" si="0">SUM(B5:I5)</f>
        <v>294595</v>
      </c>
    </row>
    <row r="6" spans="1:10" ht="18" customHeight="1">
      <c r="A6" s="113">
        <v>3</v>
      </c>
      <c r="B6" s="114">
        <f>6822+10507+6666+12517+5796+14722+5792+16088</f>
        <v>78910</v>
      </c>
      <c r="C6" s="114">
        <f>14842+15535+10577+11475</f>
        <v>52429</v>
      </c>
      <c r="D6" s="135">
        <f>13161+11093+11266+9212</f>
        <v>44732</v>
      </c>
      <c r="E6" s="135">
        <f>9901+9483+8204+7316</f>
        <v>34904</v>
      </c>
      <c r="F6" s="135">
        <f>7574+9135+6218+6802</f>
        <v>29729</v>
      </c>
      <c r="G6" s="135">
        <f>7556+8648+5786+6265</f>
        <v>28255</v>
      </c>
      <c r="H6" s="135">
        <f>2568+3046+1889+2243</f>
        <v>9746</v>
      </c>
      <c r="I6" s="135">
        <f>400+636+344+483</f>
        <v>1863</v>
      </c>
      <c r="J6" s="135">
        <f t="shared" si="0"/>
        <v>280568</v>
      </c>
    </row>
    <row r="7" spans="1:10" ht="18" customHeight="1">
      <c r="A7" s="113">
        <v>4</v>
      </c>
      <c r="B7" s="114">
        <f>11673+14570+11602+16451</f>
        <v>54296</v>
      </c>
      <c r="C7" s="114">
        <f>22762+24897</f>
        <v>47659</v>
      </c>
      <c r="D7" s="135">
        <f>27142+21540</f>
        <v>48682</v>
      </c>
      <c r="E7" s="135">
        <f>19635+14608</f>
        <v>34243</v>
      </c>
      <c r="F7" s="135">
        <f>14296+14801</f>
        <v>29097</v>
      </c>
      <c r="G7" s="135">
        <f>13058+13590</f>
        <v>26648</v>
      </c>
      <c r="H7" s="135">
        <f>4174+4796</f>
        <v>8970</v>
      </c>
      <c r="I7" s="135">
        <f>708+1077</f>
        <v>1785</v>
      </c>
      <c r="J7" s="135">
        <f t="shared" si="0"/>
        <v>251380</v>
      </c>
    </row>
    <row r="8" spans="1:10" ht="18" customHeight="1">
      <c r="A8" s="113">
        <v>5</v>
      </c>
      <c r="B8" s="114">
        <f>15207+13980+14699+19138</f>
        <v>63024</v>
      </c>
      <c r="C8" s="114">
        <f>24935+28788</f>
        <v>53723</v>
      </c>
      <c r="D8" s="135">
        <f>28395+24094</f>
        <v>52489</v>
      </c>
      <c r="E8" s="135">
        <f>21967+17897</f>
        <v>39864</v>
      </c>
      <c r="F8" s="135">
        <f>15405+15167</f>
        <v>30572</v>
      </c>
      <c r="G8" s="135">
        <f>12063+12771</f>
        <v>24834</v>
      </c>
      <c r="H8" s="135">
        <f>4015+4743</f>
        <v>8758</v>
      </c>
      <c r="I8" s="135">
        <f>710+1034</f>
        <v>1744</v>
      </c>
      <c r="J8" s="135">
        <f t="shared" si="0"/>
        <v>275008</v>
      </c>
    </row>
    <row r="9" spans="1:10" ht="18" customHeight="1">
      <c r="A9" s="113">
        <v>6</v>
      </c>
      <c r="B9" s="114">
        <f>17718+17754+17097+23303</f>
        <v>75872</v>
      </c>
      <c r="C9" s="114">
        <f>22395+28566</f>
        <v>50961</v>
      </c>
      <c r="D9" s="135">
        <f>22404+22841</f>
        <v>45245</v>
      </c>
      <c r="E9" s="135">
        <f>18706+18932</f>
        <v>37638</v>
      </c>
      <c r="F9" s="135">
        <f>13173+14060</f>
        <v>27233</v>
      </c>
      <c r="G9" s="135">
        <f>10278+11093</f>
        <v>21371</v>
      </c>
      <c r="H9" s="135">
        <f>3538+4335</f>
        <v>7873</v>
      </c>
      <c r="I9" s="135">
        <f>619+939</f>
        <v>1558</v>
      </c>
      <c r="J9" s="135">
        <f t="shared" si="0"/>
        <v>267751</v>
      </c>
    </row>
    <row r="10" spans="1:10" ht="18" customHeight="1">
      <c r="A10" s="113">
        <v>7</v>
      </c>
      <c r="B10" s="114">
        <f>19034+27397+18409+32436</f>
        <v>97276</v>
      </c>
      <c r="C10" s="114">
        <f>31415+39902</f>
        <v>71317</v>
      </c>
      <c r="D10" s="135">
        <f>26608+27174</f>
        <v>53782</v>
      </c>
      <c r="E10" s="135">
        <f>21299+22839</f>
        <v>44138</v>
      </c>
      <c r="F10" s="135">
        <f>15722+17924</f>
        <v>33646</v>
      </c>
      <c r="G10" s="135">
        <f>11994+13166</f>
        <v>25160</v>
      </c>
      <c r="H10" s="135">
        <f>3969+4934</f>
        <v>8903</v>
      </c>
      <c r="I10" s="135">
        <f>702+1036</f>
        <v>1738</v>
      </c>
      <c r="J10" s="135">
        <f t="shared" si="0"/>
        <v>335960</v>
      </c>
    </row>
    <row r="11" spans="1:10" ht="18" customHeight="1">
      <c r="A11" s="113">
        <v>8</v>
      </c>
      <c r="B11" s="114">
        <f>12831+39234+12343+43259</f>
        <v>107667</v>
      </c>
      <c r="C11" s="114">
        <f>36949+45232</f>
        <v>82181</v>
      </c>
      <c r="D11" s="135">
        <f>30758+27698</f>
        <v>58456</v>
      </c>
      <c r="E11" s="135">
        <f>21897+19221</f>
        <v>41118</v>
      </c>
      <c r="F11" s="135">
        <f>16841+18208</f>
        <v>35049</v>
      </c>
      <c r="G11" s="135">
        <f>12742+12940</f>
        <v>25682</v>
      </c>
      <c r="H11" s="135">
        <f>3895+4600</f>
        <v>8495</v>
      </c>
      <c r="I11" s="135">
        <f>634+1058</f>
        <v>1692</v>
      </c>
      <c r="J11" s="135">
        <f t="shared" si="0"/>
        <v>360340</v>
      </c>
    </row>
    <row r="12" spans="1:10" ht="18" customHeight="1">
      <c r="A12" s="113">
        <v>9</v>
      </c>
      <c r="B12" s="114">
        <f>9321+8474+9128+10048</f>
        <v>36971</v>
      </c>
      <c r="C12" s="114">
        <f>25132+30898</f>
        <v>56030</v>
      </c>
      <c r="D12" s="135">
        <f>24979+22147</f>
        <v>47126</v>
      </c>
      <c r="E12" s="135">
        <f>18120+14462</f>
        <v>32582</v>
      </c>
      <c r="F12" s="135">
        <f>12942+14492</f>
        <v>27434</v>
      </c>
      <c r="G12" s="135">
        <f>11847+13030</f>
        <v>24877</v>
      </c>
      <c r="H12" s="135">
        <f>4161+4876</f>
        <v>9037</v>
      </c>
      <c r="I12" s="135">
        <f>711+1011</f>
        <v>1722</v>
      </c>
      <c r="J12" s="135">
        <f t="shared" si="0"/>
        <v>235779</v>
      </c>
    </row>
    <row r="13" spans="1:10" ht="18" customHeight="1">
      <c r="A13" s="113">
        <v>10</v>
      </c>
      <c r="B13" s="114">
        <f>11393+7928+10844+10054</f>
        <v>40219</v>
      </c>
      <c r="C13" s="114">
        <f>25355+30771</f>
        <v>56126</v>
      </c>
      <c r="D13" s="135">
        <f>26189+22647</f>
        <v>48836</v>
      </c>
      <c r="E13" s="135">
        <f>19643+15041</f>
        <v>34684</v>
      </c>
      <c r="F13" s="135">
        <f>13926+14217</f>
        <v>28143</v>
      </c>
      <c r="G13" s="135">
        <f>12029+12668</f>
        <v>24697</v>
      </c>
      <c r="H13" s="135">
        <f>4327+4812</f>
        <v>9139</v>
      </c>
      <c r="I13" s="135">
        <f>762+1143</f>
        <v>1905</v>
      </c>
      <c r="J13" s="135">
        <f t="shared" si="0"/>
        <v>243749</v>
      </c>
    </row>
    <row r="14" spans="1:10" ht="18" customHeight="1">
      <c r="A14" s="113">
        <v>11</v>
      </c>
      <c r="B14" s="114">
        <f>11211+8601+10592+11081</f>
        <v>41485</v>
      </c>
      <c r="C14" s="114">
        <f>22486+26771</f>
        <v>49257</v>
      </c>
      <c r="D14" s="135">
        <f>20979+18797</f>
        <v>39776</v>
      </c>
      <c r="E14" s="135">
        <f>16095+13274</f>
        <v>29369</v>
      </c>
      <c r="F14" s="135">
        <f>11256+11612</f>
        <v>22868</v>
      </c>
      <c r="G14" s="135">
        <f>9546+9679</f>
        <v>19225</v>
      </c>
      <c r="H14" s="135">
        <f>3357+3643</f>
        <v>7000</v>
      </c>
      <c r="I14" s="135">
        <f>578+850</f>
        <v>1428</v>
      </c>
      <c r="J14" s="135">
        <f t="shared" si="0"/>
        <v>210408</v>
      </c>
    </row>
    <row r="15" spans="1:10" ht="18" customHeight="1">
      <c r="A15" s="113">
        <v>12</v>
      </c>
      <c r="B15" s="114">
        <f>9472+11726+8894+16069</f>
        <v>46161</v>
      </c>
      <c r="C15" s="114">
        <f>25933+32857</f>
        <v>58790</v>
      </c>
      <c r="D15" s="135">
        <f>19994+17616</f>
        <v>37610</v>
      </c>
      <c r="E15" s="135">
        <f>14458+12293</f>
        <v>26751</v>
      </c>
      <c r="F15" s="135">
        <f>10586+11152</f>
        <v>21738</v>
      </c>
      <c r="G15" s="135">
        <f>8988+9092</f>
        <v>18080</v>
      </c>
      <c r="H15" s="135">
        <f>3074+3316</f>
        <v>6390</v>
      </c>
      <c r="I15" s="135">
        <f>551+713</f>
        <v>1264</v>
      </c>
      <c r="J15" s="135">
        <f t="shared" si="0"/>
        <v>216784</v>
      </c>
    </row>
    <row r="16" spans="1:10" ht="18" customHeight="1">
      <c r="A16" s="115" t="s">
        <v>82</v>
      </c>
      <c r="B16" s="116">
        <f>SUM(B4:B15)</f>
        <v>765543</v>
      </c>
      <c r="C16" s="116">
        <f t="shared" ref="C16:I16" si="1">SUM(C4:C15)</f>
        <v>753715</v>
      </c>
      <c r="D16" s="140">
        <f t="shared" si="1"/>
        <v>572621</v>
      </c>
      <c r="E16" s="140">
        <f t="shared" si="1"/>
        <v>430080</v>
      </c>
      <c r="F16" s="140">
        <f t="shared" si="1"/>
        <v>349017</v>
      </c>
      <c r="G16" s="140">
        <f t="shared" si="1"/>
        <v>299510</v>
      </c>
      <c r="H16" s="140">
        <f t="shared" si="1"/>
        <v>105896</v>
      </c>
      <c r="I16" s="140">
        <f t="shared" si="1"/>
        <v>20423</v>
      </c>
      <c r="J16" s="140">
        <f>SUM(J4:J15)</f>
        <v>3296805</v>
      </c>
    </row>
  </sheetData>
  <mergeCells count="11">
    <mergeCell ref="J2:J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5" sqref="C5:D16"/>
    </sheetView>
  </sheetViews>
  <sheetFormatPr defaultRowHeight="13.5"/>
  <cols>
    <col min="2" max="4" width="12.625" customWidth="1"/>
  </cols>
  <sheetData>
    <row r="1" spans="1:4">
      <c r="A1" s="163" t="s">
        <v>83</v>
      </c>
      <c r="B1" s="163"/>
      <c r="C1" s="163"/>
      <c r="D1" s="163"/>
    </row>
    <row r="2" spans="1:4">
      <c r="A2" s="164" t="s">
        <v>312</v>
      </c>
      <c r="B2" s="153" t="s">
        <v>17</v>
      </c>
      <c r="C2" s="153" t="s">
        <v>18</v>
      </c>
      <c r="D2" s="153" t="s">
        <v>9</v>
      </c>
    </row>
    <row r="3" spans="1:4">
      <c r="A3" s="164"/>
      <c r="B3" s="153"/>
      <c r="C3" s="153"/>
      <c r="D3" s="153"/>
    </row>
    <row r="4" spans="1:4" ht="20.100000000000001" customHeight="1">
      <c r="A4" s="113">
        <v>1</v>
      </c>
      <c r="B4" s="114">
        <v>155305</v>
      </c>
      <c r="C4" s="114">
        <v>169178</v>
      </c>
      <c r="D4" s="114">
        <f>B4+C4</f>
        <v>324483</v>
      </c>
    </row>
    <row r="5" spans="1:4" ht="20.100000000000001" customHeight="1">
      <c r="A5" s="113">
        <v>2</v>
      </c>
      <c r="B5" s="114">
        <v>142321</v>
      </c>
      <c r="C5" s="135">
        <v>152274</v>
      </c>
      <c r="D5" s="135">
        <f t="shared" ref="D5:D15" si="0">B5+C5</f>
        <v>294595</v>
      </c>
    </row>
    <row r="6" spans="1:4" ht="20.100000000000001" customHeight="1">
      <c r="A6" s="113">
        <v>3</v>
      </c>
      <c r="B6" s="114">
        <f>73331+64802</f>
        <v>138133</v>
      </c>
      <c r="C6" s="135">
        <f>76759+65676</f>
        <v>142435</v>
      </c>
      <c r="D6" s="135">
        <f t="shared" si="0"/>
        <v>280568</v>
      </c>
    </row>
    <row r="7" spans="1:4" ht="20.100000000000001" customHeight="1">
      <c r="A7" s="113">
        <v>4</v>
      </c>
      <c r="B7" s="114">
        <f>128018</f>
        <v>128018</v>
      </c>
      <c r="C7" s="135">
        <f>123362</f>
        <v>123362</v>
      </c>
      <c r="D7" s="135">
        <f t="shared" si="0"/>
        <v>251380</v>
      </c>
    </row>
    <row r="8" spans="1:4" ht="20.100000000000001" customHeight="1">
      <c r="A8" s="113">
        <v>5</v>
      </c>
      <c r="B8" s="114">
        <f>136677</f>
        <v>136677</v>
      </c>
      <c r="C8" s="135">
        <f>138331</f>
        <v>138331</v>
      </c>
      <c r="D8" s="135">
        <f t="shared" si="0"/>
        <v>275008</v>
      </c>
    </row>
    <row r="9" spans="1:4" ht="20.100000000000001" customHeight="1">
      <c r="A9" s="113">
        <v>6</v>
      </c>
      <c r="B9" s="114">
        <v>126585</v>
      </c>
      <c r="C9" s="135">
        <v>141166</v>
      </c>
      <c r="D9" s="135">
        <f t="shared" si="0"/>
        <v>267751</v>
      </c>
    </row>
    <row r="10" spans="1:4" ht="20.100000000000001" customHeight="1">
      <c r="A10" s="113">
        <v>7</v>
      </c>
      <c r="B10" s="114">
        <v>158140</v>
      </c>
      <c r="C10" s="135">
        <v>177820</v>
      </c>
      <c r="D10" s="135">
        <f t="shared" si="0"/>
        <v>335960</v>
      </c>
    </row>
    <row r="11" spans="1:4" ht="20.100000000000001" customHeight="1">
      <c r="A11" s="113">
        <v>8</v>
      </c>
      <c r="B11" s="114">
        <v>175781</v>
      </c>
      <c r="C11" s="135">
        <v>184559</v>
      </c>
      <c r="D11" s="135">
        <f t="shared" si="0"/>
        <v>360340</v>
      </c>
    </row>
    <row r="12" spans="1:4" ht="20.100000000000001" customHeight="1">
      <c r="A12" s="113">
        <v>9</v>
      </c>
      <c r="B12" s="114">
        <v>115687</v>
      </c>
      <c r="C12" s="135">
        <v>120092</v>
      </c>
      <c r="D12" s="135">
        <f t="shared" si="0"/>
        <v>235779</v>
      </c>
    </row>
    <row r="13" spans="1:4" ht="20.100000000000001" customHeight="1">
      <c r="A13" s="113">
        <v>10</v>
      </c>
      <c r="B13" s="114">
        <v>121552</v>
      </c>
      <c r="C13" s="135">
        <v>122197</v>
      </c>
      <c r="D13" s="135">
        <f t="shared" si="0"/>
        <v>243749</v>
      </c>
    </row>
    <row r="14" spans="1:4" ht="20.100000000000001" customHeight="1">
      <c r="A14" s="113">
        <v>11</v>
      </c>
      <c r="B14" s="114">
        <v>104109</v>
      </c>
      <c r="C14" s="135">
        <v>106299</v>
      </c>
      <c r="D14" s="135">
        <f t="shared" si="0"/>
        <v>210408</v>
      </c>
    </row>
    <row r="15" spans="1:4" ht="20.100000000000001" customHeight="1">
      <c r="A15" s="113">
        <v>12</v>
      </c>
      <c r="B15" s="114">
        <v>104782</v>
      </c>
      <c r="C15" s="135">
        <v>112002</v>
      </c>
      <c r="D15" s="135">
        <f t="shared" si="0"/>
        <v>216784</v>
      </c>
    </row>
    <row r="16" spans="1:4" ht="20.100000000000001" customHeight="1">
      <c r="A16" s="115" t="s">
        <v>82</v>
      </c>
      <c r="B16" s="117">
        <f>SUM(B4:B15)</f>
        <v>1607090</v>
      </c>
      <c r="C16" s="141">
        <f t="shared" ref="C16:D16" si="1">SUM(C4:C15)</f>
        <v>1689715</v>
      </c>
      <c r="D16" s="141">
        <f t="shared" si="1"/>
        <v>3296805</v>
      </c>
    </row>
  </sheetData>
  <mergeCells count="5">
    <mergeCell ref="A1:D1"/>
    <mergeCell ref="A2:A3"/>
    <mergeCell ref="B2:B3"/>
    <mergeCell ref="C2:C3"/>
    <mergeCell ref="D2:D3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25" workbookViewId="0">
      <selection activeCell="E53" sqref="E53:N54"/>
    </sheetView>
  </sheetViews>
  <sheetFormatPr defaultRowHeight="13.5"/>
  <cols>
    <col min="1" max="1" width="5.625" customWidth="1"/>
    <col min="2" max="13" width="6.625" customWidth="1"/>
    <col min="14" max="14" width="8.625" customWidth="1"/>
  </cols>
  <sheetData>
    <row r="1" spans="1:14" ht="20.100000000000001" customHeight="1">
      <c r="A1" s="168" t="s">
        <v>72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>
      <c r="A2" s="166"/>
      <c r="B2" s="165">
        <v>1</v>
      </c>
      <c r="C2" s="165">
        <v>2</v>
      </c>
      <c r="D2" s="165">
        <v>3</v>
      </c>
      <c r="E2" s="165">
        <v>4</v>
      </c>
      <c r="F2" s="165">
        <v>5</v>
      </c>
      <c r="G2" s="165">
        <v>6</v>
      </c>
      <c r="H2" s="165">
        <v>7</v>
      </c>
      <c r="I2" s="165">
        <v>8</v>
      </c>
      <c r="J2" s="165">
        <v>9</v>
      </c>
      <c r="K2" s="165">
        <v>10</v>
      </c>
      <c r="L2" s="165">
        <v>11</v>
      </c>
      <c r="M2" s="165">
        <v>12</v>
      </c>
      <c r="N2" s="165" t="s">
        <v>9</v>
      </c>
    </row>
    <row r="3" spans="1:14">
      <c r="A3" s="167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</row>
    <row r="4" spans="1:14">
      <c r="A4" s="167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</row>
    <row r="5" spans="1:14">
      <c r="A5" s="118" t="s">
        <v>24</v>
      </c>
      <c r="B5" s="119">
        <v>10543</v>
      </c>
      <c r="C5" s="119">
        <v>8258</v>
      </c>
      <c r="D5" s="120">
        <f>3316+4017</f>
        <v>7333</v>
      </c>
      <c r="E5" s="121">
        <v>6680</v>
      </c>
      <c r="F5" s="121">
        <v>6317</v>
      </c>
      <c r="G5" s="121">
        <v>5989</v>
      </c>
      <c r="H5" s="121">
        <v>8651</v>
      </c>
      <c r="I5" s="121">
        <v>9611</v>
      </c>
      <c r="J5" s="121">
        <v>7862</v>
      </c>
      <c r="K5" s="121">
        <v>8220</v>
      </c>
      <c r="L5" s="121">
        <v>7447</v>
      </c>
      <c r="M5" s="121">
        <v>7241</v>
      </c>
      <c r="N5" s="121">
        <f>SUM(B5:M5)</f>
        <v>94152</v>
      </c>
    </row>
    <row r="6" spans="1:14">
      <c r="A6" s="118" t="s">
        <v>25</v>
      </c>
      <c r="B6" s="119">
        <v>1546</v>
      </c>
      <c r="C6" s="119">
        <v>1227</v>
      </c>
      <c r="D6" s="120">
        <f>540+540</f>
        <v>1080</v>
      </c>
      <c r="E6" s="121">
        <v>1060</v>
      </c>
      <c r="F6" s="121">
        <v>977</v>
      </c>
      <c r="G6" s="121">
        <v>1161</v>
      </c>
      <c r="H6" s="121">
        <v>1407</v>
      </c>
      <c r="I6" s="121">
        <v>1749</v>
      </c>
      <c r="J6" s="121">
        <v>1240</v>
      </c>
      <c r="K6" s="121">
        <v>1164</v>
      </c>
      <c r="L6" s="121">
        <v>1139</v>
      </c>
      <c r="M6" s="121">
        <v>1219</v>
      </c>
      <c r="N6" s="121">
        <f t="shared" ref="N6:N53" si="0">SUM(B6:M6)</f>
        <v>14969</v>
      </c>
    </row>
    <row r="7" spans="1:14">
      <c r="A7" s="118" t="s">
        <v>26</v>
      </c>
      <c r="B7" s="119">
        <v>1680</v>
      </c>
      <c r="C7" s="119">
        <v>1313</v>
      </c>
      <c r="D7" s="120">
        <f>513+685</f>
        <v>1198</v>
      </c>
      <c r="E7" s="121">
        <v>1049</v>
      </c>
      <c r="F7" s="121">
        <v>1406</v>
      </c>
      <c r="G7" s="121">
        <v>972</v>
      </c>
      <c r="H7" s="121">
        <v>1387</v>
      </c>
      <c r="I7" s="121">
        <v>2090</v>
      </c>
      <c r="J7" s="121">
        <v>1524</v>
      </c>
      <c r="K7" s="121">
        <v>1463</v>
      </c>
      <c r="L7" s="121">
        <v>1287</v>
      </c>
      <c r="M7" s="121">
        <v>1364</v>
      </c>
      <c r="N7" s="121">
        <f t="shared" si="0"/>
        <v>16733</v>
      </c>
    </row>
    <row r="8" spans="1:14">
      <c r="A8" s="118" t="s">
        <v>27</v>
      </c>
      <c r="B8" s="119">
        <v>5101</v>
      </c>
      <c r="C8" s="119">
        <v>4233</v>
      </c>
      <c r="D8" s="120">
        <f>1709+1976</f>
        <v>3685</v>
      </c>
      <c r="E8" s="121">
        <v>3592</v>
      </c>
      <c r="F8" s="121">
        <v>3845</v>
      </c>
      <c r="G8" s="121">
        <v>3549</v>
      </c>
      <c r="H8" s="121">
        <v>4243</v>
      </c>
      <c r="I8" s="121">
        <v>5145</v>
      </c>
      <c r="J8" s="121">
        <v>3577</v>
      </c>
      <c r="K8" s="121">
        <v>3900</v>
      </c>
      <c r="L8" s="121">
        <v>3274</v>
      </c>
      <c r="M8" s="121">
        <v>3260</v>
      </c>
      <c r="N8" s="121">
        <f t="shared" si="0"/>
        <v>47404</v>
      </c>
    </row>
    <row r="9" spans="1:14">
      <c r="A9" s="118" t="s">
        <v>28</v>
      </c>
      <c r="B9" s="119">
        <v>1040</v>
      </c>
      <c r="C9" s="119">
        <v>973</v>
      </c>
      <c r="D9" s="120">
        <f>463+514</f>
        <v>977</v>
      </c>
      <c r="E9" s="121">
        <v>901</v>
      </c>
      <c r="F9" s="121">
        <v>942</v>
      </c>
      <c r="G9" s="121">
        <v>1181</v>
      </c>
      <c r="H9" s="121">
        <v>1018</v>
      </c>
      <c r="I9" s="121">
        <v>1561</v>
      </c>
      <c r="J9" s="121">
        <v>1071</v>
      </c>
      <c r="K9" s="121">
        <v>1160</v>
      </c>
      <c r="L9" s="121">
        <v>941</v>
      </c>
      <c r="M9" s="121">
        <v>904</v>
      </c>
      <c r="N9" s="121">
        <f t="shared" si="0"/>
        <v>12669</v>
      </c>
    </row>
    <row r="10" spans="1:14">
      <c r="A10" s="118" t="s">
        <v>29</v>
      </c>
      <c r="B10" s="119">
        <v>1766</v>
      </c>
      <c r="C10" s="119">
        <v>1382</v>
      </c>
      <c r="D10" s="120">
        <f>647+678</f>
        <v>1325</v>
      </c>
      <c r="E10" s="121">
        <v>1389</v>
      </c>
      <c r="F10" s="121">
        <v>1200</v>
      </c>
      <c r="G10" s="121">
        <v>1292</v>
      </c>
      <c r="H10" s="121">
        <v>2273</v>
      </c>
      <c r="I10" s="121">
        <v>2922</v>
      </c>
      <c r="J10" s="121">
        <v>1433</v>
      </c>
      <c r="K10" s="121">
        <v>1594</v>
      </c>
      <c r="L10" s="121">
        <v>1105</v>
      </c>
      <c r="M10" s="121">
        <v>1095</v>
      </c>
      <c r="N10" s="121">
        <f t="shared" si="0"/>
        <v>18776</v>
      </c>
    </row>
    <row r="11" spans="1:14">
      <c r="A11" s="118" t="s">
        <v>30</v>
      </c>
      <c r="B11" s="119">
        <v>3350</v>
      </c>
      <c r="C11" s="119">
        <v>2948</v>
      </c>
      <c r="D11" s="120">
        <f>1378+1465</f>
        <v>2843</v>
      </c>
      <c r="E11" s="121">
        <v>2582</v>
      </c>
      <c r="F11" s="121">
        <v>2973</v>
      </c>
      <c r="G11" s="121">
        <v>2605</v>
      </c>
      <c r="H11" s="121">
        <v>3419</v>
      </c>
      <c r="I11" s="121">
        <v>4151</v>
      </c>
      <c r="J11" s="121">
        <v>2969</v>
      </c>
      <c r="K11" s="121">
        <v>2730</v>
      </c>
      <c r="L11" s="121">
        <v>2183</v>
      </c>
      <c r="M11" s="121">
        <v>2285</v>
      </c>
      <c r="N11" s="121">
        <f t="shared" si="0"/>
        <v>35038</v>
      </c>
    </row>
    <row r="12" spans="1:14">
      <c r="A12" s="118" t="s">
        <v>31</v>
      </c>
      <c r="B12" s="119">
        <v>6385</v>
      </c>
      <c r="C12" s="119">
        <v>5641</v>
      </c>
      <c r="D12" s="120">
        <f>2368+2693</f>
        <v>5061</v>
      </c>
      <c r="E12" s="121">
        <v>4968</v>
      </c>
      <c r="F12" s="121">
        <v>5426</v>
      </c>
      <c r="G12" s="121">
        <v>5303</v>
      </c>
      <c r="H12" s="121">
        <v>6991</v>
      </c>
      <c r="I12" s="121">
        <v>8506</v>
      </c>
      <c r="J12" s="121">
        <v>4801</v>
      </c>
      <c r="K12" s="121">
        <v>4630</v>
      </c>
      <c r="L12" s="121">
        <v>4068</v>
      </c>
      <c r="M12" s="121">
        <v>4184</v>
      </c>
      <c r="N12" s="121">
        <f t="shared" si="0"/>
        <v>65964</v>
      </c>
    </row>
    <row r="13" spans="1:14">
      <c r="A13" s="118" t="s">
        <v>32</v>
      </c>
      <c r="B13" s="119">
        <v>4527</v>
      </c>
      <c r="C13" s="119">
        <v>3956</v>
      </c>
      <c r="D13" s="120">
        <f>1472+1967</f>
        <v>3439</v>
      </c>
      <c r="E13" s="121">
        <v>3237</v>
      </c>
      <c r="F13" s="121">
        <v>3560</v>
      </c>
      <c r="G13" s="121">
        <v>3517</v>
      </c>
      <c r="H13" s="121">
        <v>4198</v>
      </c>
      <c r="I13" s="121">
        <v>4505</v>
      </c>
      <c r="J13" s="121">
        <v>3203</v>
      </c>
      <c r="K13" s="121">
        <v>3298</v>
      </c>
      <c r="L13" s="121">
        <v>2876</v>
      </c>
      <c r="M13" s="121">
        <v>2782</v>
      </c>
      <c r="N13" s="121">
        <f t="shared" si="0"/>
        <v>43098</v>
      </c>
    </row>
    <row r="14" spans="1:14">
      <c r="A14" s="118" t="s">
        <v>33</v>
      </c>
      <c r="B14" s="119">
        <v>4136</v>
      </c>
      <c r="C14" s="119">
        <v>3558</v>
      </c>
      <c r="D14" s="120">
        <f>1553+1812</f>
        <v>3365</v>
      </c>
      <c r="E14" s="121">
        <v>3372</v>
      </c>
      <c r="F14" s="121">
        <v>3691</v>
      </c>
      <c r="G14" s="121">
        <v>3583</v>
      </c>
      <c r="H14" s="121">
        <v>4073</v>
      </c>
      <c r="I14" s="121">
        <v>3999</v>
      </c>
      <c r="J14" s="121">
        <v>2999</v>
      </c>
      <c r="K14" s="121">
        <v>3110</v>
      </c>
      <c r="L14" s="121">
        <v>2537</v>
      </c>
      <c r="M14" s="121">
        <v>2744</v>
      </c>
      <c r="N14" s="121">
        <f t="shared" si="0"/>
        <v>41167</v>
      </c>
    </row>
    <row r="15" spans="1:14">
      <c r="A15" s="118" t="s">
        <v>34</v>
      </c>
      <c r="B15" s="119">
        <v>19461</v>
      </c>
      <c r="C15" s="119">
        <v>17966</v>
      </c>
      <c r="D15" s="120">
        <f>4778+2531+1506+9448</f>
        <v>18263</v>
      </c>
      <c r="E15" s="122">
        <f>8019+4792+3392</f>
        <v>16203</v>
      </c>
      <c r="F15" s="121">
        <f>9244+5049+3246</f>
        <v>17539</v>
      </c>
      <c r="G15" s="121">
        <f>8718+4866+3527</f>
        <v>17111</v>
      </c>
      <c r="H15" s="121">
        <f>10646+6148+4046</f>
        <v>20840</v>
      </c>
      <c r="I15" s="121">
        <f>11440+6172+4455</f>
        <v>22067</v>
      </c>
      <c r="J15" s="121">
        <f>6991+3910+2625</f>
        <v>13526</v>
      </c>
      <c r="K15" s="121">
        <f>6944+4696+2920</f>
        <v>14560</v>
      </c>
      <c r="L15" s="121">
        <f>5954+3879+2533</f>
        <v>12366</v>
      </c>
      <c r="M15" s="121">
        <f>6225+3866+2554</f>
        <v>12645</v>
      </c>
      <c r="N15" s="121">
        <f t="shared" si="0"/>
        <v>202547</v>
      </c>
    </row>
    <row r="16" spans="1:14">
      <c r="A16" s="118" t="s">
        <v>35</v>
      </c>
      <c r="B16" s="119">
        <v>17927</v>
      </c>
      <c r="C16" s="119">
        <v>17349</v>
      </c>
      <c r="D16" s="120">
        <f>4866+2583+8685</f>
        <v>16134</v>
      </c>
      <c r="E16" s="121">
        <f>9337+4586</f>
        <v>13923</v>
      </c>
      <c r="F16" s="121">
        <f>10561+5181</f>
        <v>15742</v>
      </c>
      <c r="G16" s="121">
        <f>10458+4844</f>
        <v>15302</v>
      </c>
      <c r="H16" s="121">
        <f>12809+6072</f>
        <v>18881</v>
      </c>
      <c r="I16" s="121">
        <f>13086+6219</f>
        <v>19305</v>
      </c>
      <c r="J16" s="121">
        <f>8740+4060</f>
        <v>12800</v>
      </c>
      <c r="K16" s="121">
        <f>8734+4295</f>
        <v>13029</v>
      </c>
      <c r="L16" s="121">
        <f>7310+3543</f>
        <v>10853</v>
      </c>
      <c r="M16" s="121">
        <f>8128+3854</f>
        <v>11982</v>
      </c>
      <c r="N16" s="121">
        <f t="shared" si="0"/>
        <v>183227</v>
      </c>
    </row>
    <row r="17" spans="1:14">
      <c r="A17" s="118" t="s">
        <v>36</v>
      </c>
      <c r="B17" s="119">
        <v>48914</v>
      </c>
      <c r="C17" s="119">
        <v>45576</v>
      </c>
      <c r="D17" s="120">
        <f>5373+7339+3626+2831+23427</f>
        <v>42596</v>
      </c>
      <c r="E17" s="121">
        <f>11712+15412+7159+5234</f>
        <v>39517</v>
      </c>
      <c r="F17" s="121">
        <f>12895+18281+8579+6327</f>
        <v>46082</v>
      </c>
      <c r="G17" s="121">
        <f>13181+18585+8751+6727</f>
        <v>47244</v>
      </c>
      <c r="H17" s="121">
        <f>16621+22502+10625+8199</f>
        <v>57947</v>
      </c>
      <c r="I17" s="121">
        <f>15986+21091+9927+7505</f>
        <v>54509</v>
      </c>
      <c r="J17" s="121">
        <f>10785+14474+6248+4916</f>
        <v>36423</v>
      </c>
      <c r="K17" s="121">
        <f>11546+15087+6523+5171</f>
        <v>38327</v>
      </c>
      <c r="L17" s="121">
        <v>33879</v>
      </c>
      <c r="M17" s="121">
        <f>10128+12810+6351+4764</f>
        <v>34053</v>
      </c>
      <c r="N17" s="121">
        <f t="shared" si="0"/>
        <v>525067</v>
      </c>
    </row>
    <row r="18" spans="1:14">
      <c r="A18" s="118" t="s">
        <v>37</v>
      </c>
      <c r="B18" s="119">
        <v>30638</v>
      </c>
      <c r="C18" s="119">
        <v>29198</v>
      </c>
      <c r="D18" s="120">
        <f>6314+3483+2759+13699</f>
        <v>26255</v>
      </c>
      <c r="E18" s="121">
        <f>12832+5823+5497</f>
        <v>24152</v>
      </c>
      <c r="F18" s="121">
        <f>14750+6433+6220</f>
        <v>27403</v>
      </c>
      <c r="G18" s="120">
        <f>14011+6657+6181</f>
        <v>26849</v>
      </c>
      <c r="H18" s="120">
        <f>17049+7415+7240</f>
        <v>31704</v>
      </c>
      <c r="I18" s="120">
        <f>16209+7178+7186</f>
        <v>30573</v>
      </c>
      <c r="J18" s="121">
        <f>10951+4965+4903</f>
        <v>20819</v>
      </c>
      <c r="K18" s="121">
        <f>11856+5460+5274</f>
        <v>22590</v>
      </c>
      <c r="L18" s="121">
        <f>10208+4781+4541</f>
        <v>19530</v>
      </c>
      <c r="M18" s="121">
        <f>10626+5320+4701</f>
        <v>20647</v>
      </c>
      <c r="N18" s="121">
        <f t="shared" si="0"/>
        <v>310358</v>
      </c>
    </row>
    <row r="19" spans="1:14">
      <c r="A19" s="118" t="s">
        <v>38</v>
      </c>
      <c r="B19" s="119">
        <v>4234</v>
      </c>
      <c r="C19" s="119">
        <v>3237</v>
      </c>
      <c r="D19" s="120">
        <f>1877+1717</f>
        <v>3594</v>
      </c>
      <c r="E19" s="121">
        <v>3739</v>
      </c>
      <c r="F19" s="121">
        <v>3033</v>
      </c>
      <c r="G19" s="121">
        <v>2921</v>
      </c>
      <c r="H19" s="121">
        <v>4046</v>
      </c>
      <c r="I19" s="121">
        <v>6511</v>
      </c>
      <c r="J19" s="121">
        <v>3216</v>
      </c>
      <c r="K19" s="121">
        <v>2936</v>
      </c>
      <c r="L19" s="121">
        <v>2570</v>
      </c>
      <c r="M19" s="121">
        <v>2653</v>
      </c>
      <c r="N19" s="121">
        <f t="shared" si="0"/>
        <v>42690</v>
      </c>
    </row>
    <row r="20" spans="1:14">
      <c r="A20" s="118" t="s">
        <v>39</v>
      </c>
      <c r="B20" s="119">
        <v>2336</v>
      </c>
      <c r="C20" s="119">
        <v>1968</v>
      </c>
      <c r="D20" s="120">
        <f>893+1248</f>
        <v>2141</v>
      </c>
      <c r="E20" s="121">
        <v>1817</v>
      </c>
      <c r="F20" s="121">
        <v>1757</v>
      </c>
      <c r="G20" s="121">
        <v>1822</v>
      </c>
      <c r="H20" s="121">
        <v>2307</v>
      </c>
      <c r="I20" s="121">
        <v>2898</v>
      </c>
      <c r="J20" s="121">
        <v>1733</v>
      </c>
      <c r="K20" s="121">
        <v>1893</v>
      </c>
      <c r="L20" s="121">
        <v>1497</v>
      </c>
      <c r="M20" s="121">
        <v>1705</v>
      </c>
      <c r="N20" s="121">
        <f t="shared" si="0"/>
        <v>23874</v>
      </c>
    </row>
    <row r="21" spans="1:14">
      <c r="A21" s="118" t="s">
        <v>40</v>
      </c>
      <c r="B21" s="119">
        <v>2814</v>
      </c>
      <c r="C21" s="119">
        <v>2498</v>
      </c>
      <c r="D21" s="120">
        <f>1092+1484</f>
        <v>2576</v>
      </c>
      <c r="E21" s="121">
        <v>2363</v>
      </c>
      <c r="F21" s="121">
        <v>2395</v>
      </c>
      <c r="G21" s="121">
        <v>2092</v>
      </c>
      <c r="H21" s="121">
        <v>2292</v>
      </c>
      <c r="I21" s="121">
        <v>2426</v>
      </c>
      <c r="J21" s="121">
        <v>1909</v>
      </c>
      <c r="K21" s="121">
        <v>1904</v>
      </c>
      <c r="L21" s="121">
        <v>1721</v>
      </c>
      <c r="M21" s="121">
        <v>1956</v>
      </c>
      <c r="N21" s="121">
        <f t="shared" si="0"/>
        <v>26946</v>
      </c>
    </row>
    <row r="22" spans="1:14">
      <c r="A22" s="118" t="s">
        <v>41</v>
      </c>
      <c r="B22" s="119">
        <v>1965</v>
      </c>
      <c r="C22" s="119">
        <v>1580</v>
      </c>
      <c r="D22" s="120">
        <f>690+764</f>
        <v>1454</v>
      </c>
      <c r="E22" s="121">
        <v>1252</v>
      </c>
      <c r="F22" s="121">
        <v>1197</v>
      </c>
      <c r="G22" s="121">
        <v>1230</v>
      </c>
      <c r="H22" s="121">
        <v>1504</v>
      </c>
      <c r="I22" s="121">
        <v>1861</v>
      </c>
      <c r="J22" s="121">
        <v>1405</v>
      </c>
      <c r="K22" s="121">
        <v>1271</v>
      </c>
      <c r="L22" s="121">
        <v>1125</v>
      </c>
      <c r="M22" s="121">
        <v>1420</v>
      </c>
      <c r="N22" s="121">
        <f t="shared" si="0"/>
        <v>17264</v>
      </c>
    </row>
    <row r="23" spans="1:14">
      <c r="A23" s="118" t="s">
        <v>42</v>
      </c>
      <c r="B23" s="119">
        <v>2151</v>
      </c>
      <c r="C23" s="119">
        <v>1774</v>
      </c>
      <c r="D23" s="120">
        <f>545+884</f>
        <v>1429</v>
      </c>
      <c r="E23" s="121">
        <v>1265</v>
      </c>
      <c r="F23" s="121">
        <v>1383</v>
      </c>
      <c r="G23" s="121">
        <v>1535</v>
      </c>
      <c r="H23" s="121">
        <v>1952</v>
      </c>
      <c r="I23" s="121">
        <v>1960</v>
      </c>
      <c r="J23" s="121">
        <v>1584</v>
      </c>
      <c r="K23" s="121">
        <v>1525</v>
      </c>
      <c r="L23" s="121">
        <v>1427</v>
      </c>
      <c r="M23" s="121">
        <v>1496</v>
      </c>
      <c r="N23" s="121">
        <f t="shared" si="0"/>
        <v>19481</v>
      </c>
    </row>
    <row r="24" spans="1:14">
      <c r="A24" s="118" t="s">
        <v>43</v>
      </c>
      <c r="B24" s="119">
        <v>4797</v>
      </c>
      <c r="C24" s="119">
        <v>3962</v>
      </c>
      <c r="D24" s="120">
        <f>1679+1901</f>
        <v>3580</v>
      </c>
      <c r="E24" s="121">
        <v>3164</v>
      </c>
      <c r="F24" s="121">
        <v>3097</v>
      </c>
      <c r="G24" s="121">
        <v>2778</v>
      </c>
      <c r="H24" s="121">
        <v>3468</v>
      </c>
      <c r="I24" s="121">
        <v>4501</v>
      </c>
      <c r="J24" s="121">
        <v>3223</v>
      </c>
      <c r="K24" s="121">
        <v>3368</v>
      </c>
      <c r="L24" s="121">
        <v>3001</v>
      </c>
      <c r="M24" s="121">
        <v>3388</v>
      </c>
      <c r="N24" s="121">
        <f t="shared" si="0"/>
        <v>42327</v>
      </c>
    </row>
    <row r="25" spans="1:14">
      <c r="A25" s="118" t="s">
        <v>44</v>
      </c>
      <c r="B25" s="119">
        <v>5200</v>
      </c>
      <c r="C25" s="119">
        <v>4715</v>
      </c>
      <c r="D25" s="120">
        <f>1748+2246</f>
        <v>3994</v>
      </c>
      <c r="E25" s="121">
        <v>3578</v>
      </c>
      <c r="F25" s="121">
        <v>4010</v>
      </c>
      <c r="G25" s="121">
        <v>3850</v>
      </c>
      <c r="H25" s="121">
        <v>4473</v>
      </c>
      <c r="I25" s="121">
        <v>5307</v>
      </c>
      <c r="J25" s="121">
        <v>3525</v>
      </c>
      <c r="K25" s="121">
        <v>3607</v>
      </c>
      <c r="L25" s="121">
        <v>2949</v>
      </c>
      <c r="M25" s="121">
        <v>3411</v>
      </c>
      <c r="N25" s="121">
        <f t="shared" si="0"/>
        <v>48619</v>
      </c>
    </row>
    <row r="26" spans="1:14">
      <c r="A26" s="118" t="s">
        <v>45</v>
      </c>
      <c r="B26" s="119">
        <v>8588</v>
      </c>
      <c r="C26" s="119">
        <v>7674</v>
      </c>
      <c r="D26" s="120">
        <f>3563+4344</f>
        <v>7907</v>
      </c>
      <c r="E26" s="121">
        <v>7226</v>
      </c>
      <c r="F26" s="121">
        <v>7713</v>
      </c>
      <c r="G26" s="121">
        <v>7291</v>
      </c>
      <c r="H26" s="121">
        <v>10048</v>
      </c>
      <c r="I26" s="121">
        <v>10649</v>
      </c>
      <c r="J26" s="121">
        <v>6435</v>
      </c>
      <c r="K26" s="121">
        <v>6349</v>
      </c>
      <c r="L26" s="121">
        <v>5565</v>
      </c>
      <c r="M26" s="121">
        <v>5634</v>
      </c>
      <c r="N26" s="121">
        <f t="shared" si="0"/>
        <v>91079</v>
      </c>
    </row>
    <row r="27" spans="1:14">
      <c r="A27" s="118" t="s">
        <v>46</v>
      </c>
      <c r="B27" s="119">
        <v>22350</v>
      </c>
      <c r="C27" s="119">
        <v>20623</v>
      </c>
      <c r="D27" s="120">
        <f>6983+1376+9771</f>
        <v>18130</v>
      </c>
      <c r="E27" s="121">
        <f>13875+2982</f>
        <v>16857</v>
      </c>
      <c r="F27" s="121">
        <f>16313+3525</f>
        <v>19838</v>
      </c>
      <c r="G27" s="121">
        <f>14932+3049</f>
        <v>17981</v>
      </c>
      <c r="H27" s="121">
        <f>17870+3818</f>
        <v>21688</v>
      </c>
      <c r="I27" s="121">
        <f>17713+3917</f>
        <v>21630</v>
      </c>
      <c r="J27" s="121">
        <f>12763+2932</f>
        <v>15695</v>
      </c>
      <c r="K27" s="121">
        <f>13092+2851</f>
        <v>15943</v>
      </c>
      <c r="L27" s="121">
        <f>11712+2437</f>
        <v>14149</v>
      </c>
      <c r="M27" s="121">
        <f>11975+2549</f>
        <v>14524</v>
      </c>
      <c r="N27" s="121">
        <f t="shared" si="0"/>
        <v>219408</v>
      </c>
    </row>
    <row r="28" spans="1:14">
      <c r="A28" s="118" t="s">
        <v>47</v>
      </c>
      <c r="B28" s="119">
        <v>4439</v>
      </c>
      <c r="C28" s="119">
        <v>4032</v>
      </c>
      <c r="D28" s="120">
        <f>1646+1959</f>
        <v>3605</v>
      </c>
      <c r="E28" s="121">
        <v>3438</v>
      </c>
      <c r="F28" s="121">
        <v>3465</v>
      </c>
      <c r="G28" s="121">
        <v>3311</v>
      </c>
      <c r="H28" s="121">
        <v>4243</v>
      </c>
      <c r="I28" s="121">
        <v>4514</v>
      </c>
      <c r="J28" s="121">
        <v>3169</v>
      </c>
      <c r="K28" s="121">
        <v>3285</v>
      </c>
      <c r="L28" s="121">
        <v>2767</v>
      </c>
      <c r="M28" s="121">
        <v>2834</v>
      </c>
      <c r="N28" s="121">
        <f t="shared" si="0"/>
        <v>43102</v>
      </c>
    </row>
    <row r="29" spans="1:14">
      <c r="A29" s="118" t="s">
        <v>48</v>
      </c>
      <c r="B29" s="119">
        <v>4041</v>
      </c>
      <c r="C29" s="119">
        <v>3474</v>
      </c>
      <c r="D29" s="120">
        <f>2147+1818</f>
        <v>3965</v>
      </c>
      <c r="E29" s="121">
        <v>2935</v>
      </c>
      <c r="F29" s="121">
        <v>3494</v>
      </c>
      <c r="G29" s="121">
        <v>3326</v>
      </c>
      <c r="H29" s="121">
        <v>4349</v>
      </c>
      <c r="I29" s="121">
        <v>4923</v>
      </c>
      <c r="J29" s="121">
        <v>2577</v>
      </c>
      <c r="K29" s="121">
        <v>2903</v>
      </c>
      <c r="L29" s="121">
        <v>2519</v>
      </c>
      <c r="M29" s="121">
        <v>2589</v>
      </c>
      <c r="N29" s="121">
        <f t="shared" si="0"/>
        <v>41095</v>
      </c>
    </row>
    <row r="30" spans="1:14">
      <c r="A30" s="118" t="s">
        <v>49</v>
      </c>
      <c r="B30" s="119">
        <v>8224</v>
      </c>
      <c r="C30" s="119">
        <v>6928</v>
      </c>
      <c r="D30" s="120">
        <f>3217+3314</f>
        <v>6531</v>
      </c>
      <c r="E30" s="121">
        <v>5745</v>
      </c>
      <c r="F30" s="121">
        <v>6273</v>
      </c>
      <c r="G30" s="121">
        <v>6038</v>
      </c>
      <c r="H30" s="121">
        <v>7864</v>
      </c>
      <c r="I30" s="121">
        <v>9048</v>
      </c>
      <c r="J30" s="121">
        <v>5003</v>
      </c>
      <c r="K30" s="121">
        <v>5263</v>
      </c>
      <c r="L30" s="121">
        <v>4935</v>
      </c>
      <c r="M30" s="121">
        <v>5788</v>
      </c>
      <c r="N30" s="121">
        <f t="shared" si="0"/>
        <v>77640</v>
      </c>
    </row>
    <row r="31" spans="1:14">
      <c r="A31" s="118" t="s">
        <v>50</v>
      </c>
      <c r="B31" s="119">
        <v>26074</v>
      </c>
      <c r="C31" s="119">
        <v>23381</v>
      </c>
      <c r="D31" s="120">
        <f>8876+3289+1658+13306</f>
        <v>27129</v>
      </c>
      <c r="E31" s="121">
        <f>15013+4726+1567</f>
        <v>21306</v>
      </c>
      <c r="F31" s="121">
        <f>14715+4794+1697</f>
        <v>21206</v>
      </c>
      <c r="G31" s="121">
        <f>15085+4730+1453</f>
        <v>21268</v>
      </c>
      <c r="H31" s="121">
        <f>18301+6175+2051</f>
        <v>26527</v>
      </c>
      <c r="I31" s="121">
        <f>20157+6523+1913</f>
        <v>28593</v>
      </c>
      <c r="J31" s="121">
        <f>12255+3853+1262</f>
        <v>17370</v>
      </c>
      <c r="K31" s="121">
        <f>13340+4014+1408</f>
        <v>18762</v>
      </c>
      <c r="L31" s="121">
        <f>11970+3590+1158</f>
        <v>16718</v>
      </c>
      <c r="M31" s="121">
        <f>11596+3757+1236</f>
        <v>16589</v>
      </c>
      <c r="N31" s="121">
        <f t="shared" si="0"/>
        <v>264923</v>
      </c>
    </row>
    <row r="32" spans="1:14">
      <c r="A32" s="118" t="s">
        <v>51</v>
      </c>
      <c r="B32" s="119">
        <v>15931</v>
      </c>
      <c r="C32" s="119">
        <v>14436</v>
      </c>
      <c r="D32" s="120">
        <f>4780+1675+7339</f>
        <v>13794</v>
      </c>
      <c r="E32" s="121">
        <f>8232+3002</f>
        <v>11234</v>
      </c>
      <c r="F32" s="121">
        <f>10094+3362</f>
        <v>13456</v>
      </c>
      <c r="G32" s="121">
        <f>9195+3184</f>
        <v>12379</v>
      </c>
      <c r="H32" s="121">
        <f>12563+4405</f>
        <v>16968</v>
      </c>
      <c r="I32" s="121">
        <f>13220+5177</f>
        <v>18397</v>
      </c>
      <c r="J32" s="121">
        <f>8038+2570</f>
        <v>10608</v>
      </c>
      <c r="K32" s="121">
        <f>8258+2693</f>
        <v>10951</v>
      </c>
      <c r="L32" s="121">
        <f>7278+2489</f>
        <v>9767</v>
      </c>
      <c r="M32" s="121">
        <f>7504+2600</f>
        <v>10104</v>
      </c>
      <c r="N32" s="121">
        <f t="shared" si="0"/>
        <v>158025</v>
      </c>
    </row>
    <row r="33" spans="1:14">
      <c r="A33" s="118" t="s">
        <v>52</v>
      </c>
      <c r="B33" s="119">
        <v>4283</v>
      </c>
      <c r="C33" s="119">
        <v>3609</v>
      </c>
      <c r="D33" s="120">
        <f>1430+1648</f>
        <v>3078</v>
      </c>
      <c r="E33" s="121">
        <v>2705</v>
      </c>
      <c r="F33" s="121">
        <v>3152</v>
      </c>
      <c r="G33" s="121">
        <v>3134</v>
      </c>
      <c r="H33" s="121">
        <v>4147</v>
      </c>
      <c r="I33" s="121">
        <v>4223</v>
      </c>
      <c r="J33" s="121">
        <v>2583</v>
      </c>
      <c r="K33" s="121">
        <v>2722</v>
      </c>
      <c r="L33" s="121">
        <v>2511</v>
      </c>
      <c r="M33" s="121">
        <v>2727</v>
      </c>
      <c r="N33" s="121">
        <f t="shared" si="0"/>
        <v>38874</v>
      </c>
    </row>
    <row r="34" spans="1:14">
      <c r="A34" s="118" t="s">
        <v>53</v>
      </c>
      <c r="B34" s="119">
        <v>2114</v>
      </c>
      <c r="C34" s="119">
        <v>1747</v>
      </c>
      <c r="D34" s="120">
        <f>663+935</f>
        <v>1598</v>
      </c>
      <c r="E34" s="121">
        <v>1427</v>
      </c>
      <c r="F34" s="121">
        <v>1546</v>
      </c>
      <c r="G34" s="121">
        <v>1558</v>
      </c>
      <c r="H34" s="121">
        <v>2041</v>
      </c>
      <c r="I34" s="121">
        <v>1959</v>
      </c>
      <c r="J34" s="121">
        <v>1502</v>
      </c>
      <c r="K34" s="121">
        <v>1466</v>
      </c>
      <c r="L34" s="121">
        <v>1307</v>
      </c>
      <c r="M34" s="121">
        <v>1430</v>
      </c>
      <c r="N34" s="121">
        <f t="shared" si="0"/>
        <v>19695</v>
      </c>
    </row>
    <row r="35" spans="1:14">
      <c r="A35" s="118" t="s">
        <v>54</v>
      </c>
      <c r="B35" s="119">
        <v>939</v>
      </c>
      <c r="C35" s="119">
        <v>1138</v>
      </c>
      <c r="D35" s="120">
        <f>489+428</f>
        <v>917</v>
      </c>
      <c r="E35" s="121">
        <v>838</v>
      </c>
      <c r="F35" s="121">
        <v>732</v>
      </c>
      <c r="G35" s="121">
        <v>726</v>
      </c>
      <c r="H35" s="121">
        <v>1177</v>
      </c>
      <c r="I35" s="121">
        <v>938</v>
      </c>
      <c r="J35" s="121">
        <v>759</v>
      </c>
      <c r="K35" s="121">
        <v>762</v>
      </c>
      <c r="L35" s="121">
        <v>586</v>
      </c>
      <c r="M35" s="121">
        <v>644</v>
      </c>
      <c r="N35" s="121">
        <f t="shared" si="0"/>
        <v>10156</v>
      </c>
    </row>
    <row r="36" spans="1:14">
      <c r="A36" s="118" t="s">
        <v>55</v>
      </c>
      <c r="B36" s="119">
        <v>999</v>
      </c>
      <c r="C36" s="119">
        <v>756</v>
      </c>
      <c r="D36" s="120">
        <f>333+377</f>
        <v>710</v>
      </c>
      <c r="E36" s="121">
        <v>691</v>
      </c>
      <c r="F36" s="121">
        <v>784</v>
      </c>
      <c r="G36" s="121">
        <v>749</v>
      </c>
      <c r="H36" s="121">
        <v>875</v>
      </c>
      <c r="I36" s="121">
        <v>1323</v>
      </c>
      <c r="J36" s="121">
        <v>720</v>
      </c>
      <c r="K36" s="121">
        <v>766</v>
      </c>
      <c r="L36" s="121">
        <v>636</v>
      </c>
      <c r="M36" s="121">
        <v>573</v>
      </c>
      <c r="N36" s="121">
        <f t="shared" si="0"/>
        <v>9582</v>
      </c>
    </row>
    <row r="37" spans="1:14">
      <c r="A37" s="118" t="s">
        <v>56</v>
      </c>
      <c r="B37" s="119">
        <v>3725</v>
      </c>
      <c r="C37" s="119">
        <v>3373</v>
      </c>
      <c r="D37" s="120">
        <f>1689+1947</f>
        <v>3636</v>
      </c>
      <c r="E37" s="121">
        <v>3145</v>
      </c>
      <c r="F37" s="121">
        <v>3231</v>
      </c>
      <c r="G37" s="121">
        <v>2896</v>
      </c>
      <c r="H37" s="121">
        <v>3715</v>
      </c>
      <c r="I37" s="121">
        <v>4199</v>
      </c>
      <c r="J37" s="121">
        <v>3011</v>
      </c>
      <c r="K37" s="121">
        <v>2963</v>
      </c>
      <c r="L37" s="121">
        <v>2442</v>
      </c>
      <c r="M37" s="121">
        <v>2437</v>
      </c>
      <c r="N37" s="121">
        <f t="shared" si="0"/>
        <v>38773</v>
      </c>
    </row>
    <row r="38" spans="1:14">
      <c r="A38" s="118" t="s">
        <v>57</v>
      </c>
      <c r="B38" s="119">
        <v>5816</v>
      </c>
      <c r="C38" s="119">
        <v>5454</v>
      </c>
      <c r="D38" s="120">
        <f>2225+2878</f>
        <v>5103</v>
      </c>
      <c r="E38" s="121">
        <v>4464</v>
      </c>
      <c r="F38" s="121">
        <v>5410</v>
      </c>
      <c r="G38" s="121">
        <v>5171</v>
      </c>
      <c r="H38" s="121">
        <v>5959</v>
      </c>
      <c r="I38" s="121">
        <v>7007</v>
      </c>
      <c r="J38" s="121">
        <v>4507</v>
      </c>
      <c r="K38" s="121">
        <v>4544</v>
      </c>
      <c r="L38" s="121">
        <v>3890</v>
      </c>
      <c r="M38" s="121">
        <v>4072</v>
      </c>
      <c r="N38" s="121">
        <f t="shared" si="0"/>
        <v>61397</v>
      </c>
    </row>
    <row r="39" spans="1:14">
      <c r="A39" s="118" t="s">
        <v>58</v>
      </c>
      <c r="B39" s="119">
        <v>2341</v>
      </c>
      <c r="C39" s="119">
        <v>2301</v>
      </c>
      <c r="D39" s="120">
        <f>942+1274</f>
        <v>2216</v>
      </c>
      <c r="E39" s="121">
        <v>1906</v>
      </c>
      <c r="F39" s="121">
        <v>2029</v>
      </c>
      <c r="G39" s="121">
        <v>1987</v>
      </c>
      <c r="H39" s="121">
        <v>2594</v>
      </c>
      <c r="I39" s="121">
        <v>3006</v>
      </c>
      <c r="J39" s="121">
        <v>1924</v>
      </c>
      <c r="K39" s="121">
        <v>1885</v>
      </c>
      <c r="L39" s="121">
        <v>1602</v>
      </c>
      <c r="M39" s="121">
        <v>1424</v>
      </c>
      <c r="N39" s="121">
        <f t="shared" si="0"/>
        <v>25215</v>
      </c>
    </row>
    <row r="40" spans="1:14">
      <c r="A40" s="118" t="s">
        <v>59</v>
      </c>
      <c r="B40" s="119">
        <v>1414</v>
      </c>
      <c r="C40" s="119">
        <v>1173</v>
      </c>
      <c r="D40" s="120">
        <f>457+564</f>
        <v>1021</v>
      </c>
      <c r="E40" s="121">
        <v>1084</v>
      </c>
      <c r="F40" s="121">
        <v>1153</v>
      </c>
      <c r="G40" s="121">
        <v>1033</v>
      </c>
      <c r="H40" s="121">
        <v>1284</v>
      </c>
      <c r="I40" s="121">
        <v>1297</v>
      </c>
      <c r="J40" s="121">
        <v>948</v>
      </c>
      <c r="K40" s="121">
        <v>1053</v>
      </c>
      <c r="L40" s="121">
        <v>810</v>
      </c>
      <c r="M40" s="121">
        <v>883</v>
      </c>
      <c r="N40" s="121">
        <f t="shared" si="0"/>
        <v>13153</v>
      </c>
    </row>
    <row r="41" spans="1:14">
      <c r="A41" s="118" t="s">
        <v>60</v>
      </c>
      <c r="B41" s="119">
        <v>1870</v>
      </c>
      <c r="C41" s="119">
        <v>1653</v>
      </c>
      <c r="D41" s="120">
        <f>722+803</f>
        <v>1525</v>
      </c>
      <c r="E41" s="121">
        <v>1436</v>
      </c>
      <c r="F41" s="121">
        <v>1505</v>
      </c>
      <c r="G41" s="121">
        <v>1470</v>
      </c>
      <c r="H41" s="121">
        <v>1774</v>
      </c>
      <c r="I41" s="121">
        <v>1839</v>
      </c>
      <c r="J41" s="121">
        <v>1377</v>
      </c>
      <c r="K41" s="121">
        <v>1542</v>
      </c>
      <c r="L41" s="121">
        <v>1200</v>
      </c>
      <c r="M41" s="121">
        <v>1320</v>
      </c>
      <c r="N41" s="121">
        <f t="shared" si="0"/>
        <v>18511</v>
      </c>
    </row>
    <row r="42" spans="1:14">
      <c r="A42" s="118" t="s">
        <v>61</v>
      </c>
      <c r="B42" s="119">
        <v>2165</v>
      </c>
      <c r="C42" s="119">
        <v>1979</v>
      </c>
      <c r="D42" s="120">
        <f>791+1044</f>
        <v>1835</v>
      </c>
      <c r="E42" s="121">
        <v>1627</v>
      </c>
      <c r="F42" s="121">
        <v>1708</v>
      </c>
      <c r="G42" s="121">
        <v>1676</v>
      </c>
      <c r="H42" s="121">
        <v>2096</v>
      </c>
      <c r="I42" s="121">
        <v>2364</v>
      </c>
      <c r="J42" s="121">
        <v>1784</v>
      </c>
      <c r="K42" s="121">
        <v>1827</v>
      </c>
      <c r="L42" s="121">
        <v>1345</v>
      </c>
      <c r="M42" s="121">
        <v>1465</v>
      </c>
      <c r="N42" s="121">
        <f t="shared" si="0"/>
        <v>21871</v>
      </c>
    </row>
    <row r="43" spans="1:14">
      <c r="A43" s="118" t="s">
        <v>62</v>
      </c>
      <c r="B43" s="119">
        <v>1023</v>
      </c>
      <c r="C43" s="119">
        <v>816</v>
      </c>
      <c r="D43" s="120">
        <f>489+487</f>
        <v>976</v>
      </c>
      <c r="E43" s="121">
        <v>883</v>
      </c>
      <c r="F43" s="121">
        <v>778</v>
      </c>
      <c r="G43" s="121">
        <v>765</v>
      </c>
      <c r="H43" s="121">
        <v>964</v>
      </c>
      <c r="I43" s="121">
        <v>1012</v>
      </c>
      <c r="J43" s="121">
        <v>752</v>
      </c>
      <c r="K43" s="121">
        <v>739</v>
      </c>
      <c r="L43" s="121">
        <v>708</v>
      </c>
      <c r="M43" s="121">
        <v>686</v>
      </c>
      <c r="N43" s="121">
        <f t="shared" si="0"/>
        <v>10102</v>
      </c>
    </row>
    <row r="44" spans="1:14">
      <c r="A44" s="118" t="s">
        <v>63</v>
      </c>
      <c r="B44" s="119">
        <v>12771</v>
      </c>
      <c r="C44" s="119">
        <v>12540</v>
      </c>
      <c r="D44" s="120">
        <f>3618+1299+6452</f>
        <v>11369</v>
      </c>
      <c r="E44" s="121">
        <f>7679+2312</f>
        <v>9991</v>
      </c>
      <c r="F44" s="121">
        <f>8095+2413</f>
        <v>10508</v>
      </c>
      <c r="G44" s="121">
        <f>8177+2342</f>
        <v>10519</v>
      </c>
      <c r="H44" s="121">
        <f>11152+3210</f>
        <v>14362</v>
      </c>
      <c r="I44" s="121">
        <f>13304+3298</f>
        <v>16602</v>
      </c>
      <c r="J44" s="121">
        <f>7701+2477</f>
        <v>10178</v>
      </c>
      <c r="K44" s="121">
        <f>8095+2518</f>
        <v>10613</v>
      </c>
      <c r="L44" s="121">
        <f>6502+2007</f>
        <v>8509</v>
      </c>
      <c r="M44" s="121">
        <f>6348+1984</f>
        <v>8332</v>
      </c>
      <c r="N44" s="121">
        <f t="shared" si="0"/>
        <v>136294</v>
      </c>
    </row>
    <row r="45" spans="1:14">
      <c r="A45" s="118" t="s">
        <v>64</v>
      </c>
      <c r="B45" s="119">
        <v>1556</v>
      </c>
      <c r="C45" s="119">
        <v>1371</v>
      </c>
      <c r="D45" s="120">
        <f>541+822</f>
        <v>1363</v>
      </c>
      <c r="E45" s="121">
        <v>1216</v>
      </c>
      <c r="F45" s="121">
        <v>1188</v>
      </c>
      <c r="G45" s="121">
        <v>1246</v>
      </c>
      <c r="H45" s="121">
        <v>1672</v>
      </c>
      <c r="I45" s="121">
        <v>1875</v>
      </c>
      <c r="J45" s="121">
        <v>1418</v>
      </c>
      <c r="K45" s="121">
        <v>1272</v>
      </c>
      <c r="L45" s="121">
        <v>1053</v>
      </c>
      <c r="M45" s="121">
        <v>1241</v>
      </c>
      <c r="N45" s="121">
        <f t="shared" si="0"/>
        <v>16471</v>
      </c>
    </row>
    <row r="46" spans="1:14">
      <c r="A46" s="118" t="s">
        <v>65</v>
      </c>
      <c r="B46" s="119">
        <v>2039</v>
      </c>
      <c r="C46" s="119">
        <v>2235</v>
      </c>
      <c r="D46" s="120">
        <f>687+999</f>
        <v>1686</v>
      </c>
      <c r="E46" s="121">
        <v>1703</v>
      </c>
      <c r="F46" s="121">
        <v>1915</v>
      </c>
      <c r="G46" s="121">
        <v>1640</v>
      </c>
      <c r="H46" s="121">
        <v>2098</v>
      </c>
      <c r="I46" s="121">
        <v>3186</v>
      </c>
      <c r="J46" s="121">
        <v>2192</v>
      </c>
      <c r="K46" s="121">
        <v>1794</v>
      </c>
      <c r="L46" s="121">
        <v>1448</v>
      </c>
      <c r="M46" s="121">
        <v>1385</v>
      </c>
      <c r="N46" s="121">
        <f t="shared" si="0"/>
        <v>23321</v>
      </c>
    </row>
    <row r="47" spans="1:14">
      <c r="A47" s="118" t="s">
        <v>66</v>
      </c>
      <c r="B47" s="119">
        <v>3074</v>
      </c>
      <c r="C47" s="119">
        <v>2989</v>
      </c>
      <c r="D47" s="120">
        <f>1208+1540</f>
        <v>2748</v>
      </c>
      <c r="E47" s="121">
        <v>2634</v>
      </c>
      <c r="F47" s="121">
        <v>2752</v>
      </c>
      <c r="G47" s="121">
        <v>2756</v>
      </c>
      <c r="H47" s="121">
        <v>3451</v>
      </c>
      <c r="I47" s="121">
        <v>3789</v>
      </c>
      <c r="J47" s="121">
        <v>2496</v>
      </c>
      <c r="K47" s="121">
        <v>2503</v>
      </c>
      <c r="L47" s="121">
        <v>2062</v>
      </c>
      <c r="M47" s="121">
        <v>2078</v>
      </c>
      <c r="N47" s="121">
        <f t="shared" si="0"/>
        <v>33332</v>
      </c>
    </row>
    <row r="48" spans="1:14">
      <c r="A48" s="118" t="s">
        <v>67</v>
      </c>
      <c r="B48" s="119">
        <v>1866</v>
      </c>
      <c r="C48" s="119">
        <v>1672</v>
      </c>
      <c r="D48" s="120">
        <f>700+959</f>
        <v>1659</v>
      </c>
      <c r="E48" s="121">
        <v>1573</v>
      </c>
      <c r="F48" s="121">
        <v>1586</v>
      </c>
      <c r="G48" s="121">
        <v>1409</v>
      </c>
      <c r="H48" s="121">
        <v>2091</v>
      </c>
      <c r="I48" s="121">
        <v>3165</v>
      </c>
      <c r="J48" s="121">
        <v>1697</v>
      </c>
      <c r="K48" s="121">
        <v>1576</v>
      </c>
      <c r="L48" s="121">
        <v>1196</v>
      </c>
      <c r="M48" s="121">
        <v>1198</v>
      </c>
      <c r="N48" s="121">
        <f t="shared" si="0"/>
        <v>20688</v>
      </c>
    </row>
    <row r="49" spans="1:14">
      <c r="A49" s="118" t="s">
        <v>68</v>
      </c>
      <c r="B49" s="119">
        <v>1418</v>
      </c>
      <c r="C49" s="119">
        <v>1445</v>
      </c>
      <c r="D49" s="120">
        <f>528+730</f>
        <v>1258</v>
      </c>
      <c r="E49" s="121">
        <v>1283</v>
      </c>
      <c r="F49" s="121">
        <v>1340</v>
      </c>
      <c r="G49" s="121">
        <v>1248</v>
      </c>
      <c r="H49" s="121">
        <v>1620</v>
      </c>
      <c r="I49" s="121">
        <v>2446</v>
      </c>
      <c r="J49" s="121">
        <v>1410</v>
      </c>
      <c r="K49" s="121">
        <v>1350</v>
      </c>
      <c r="L49" s="121">
        <v>1027</v>
      </c>
      <c r="M49" s="121">
        <v>993</v>
      </c>
      <c r="N49" s="121">
        <f t="shared" si="0"/>
        <v>16838</v>
      </c>
    </row>
    <row r="50" spans="1:14">
      <c r="A50" s="118" t="s">
        <v>69</v>
      </c>
      <c r="B50" s="119">
        <v>2246</v>
      </c>
      <c r="C50" s="119">
        <v>2066</v>
      </c>
      <c r="D50" s="120">
        <f>930+1257</f>
        <v>2187</v>
      </c>
      <c r="E50" s="121">
        <v>2055</v>
      </c>
      <c r="F50" s="121">
        <v>1962</v>
      </c>
      <c r="G50" s="121">
        <v>1753</v>
      </c>
      <c r="H50" s="121">
        <v>2457</v>
      </c>
      <c r="I50" s="121">
        <v>2776</v>
      </c>
      <c r="J50" s="121">
        <v>2074</v>
      </c>
      <c r="K50" s="121">
        <v>1973</v>
      </c>
      <c r="L50" s="121">
        <v>1443</v>
      </c>
      <c r="M50" s="121">
        <v>1449</v>
      </c>
      <c r="N50" s="121">
        <f t="shared" si="0"/>
        <v>24441</v>
      </c>
    </row>
    <row r="51" spans="1:14">
      <c r="A51" s="118" t="s">
        <v>70</v>
      </c>
      <c r="B51" s="119">
        <v>2666</v>
      </c>
      <c r="C51" s="119">
        <v>2423</v>
      </c>
      <c r="D51" s="120">
        <f>1055+1245</f>
        <v>2300</v>
      </c>
      <c r="E51" s="121">
        <v>2170</v>
      </c>
      <c r="F51" s="121">
        <v>2309</v>
      </c>
      <c r="G51" s="121">
        <v>2535</v>
      </c>
      <c r="H51" s="121">
        <v>2822</v>
      </c>
      <c r="I51" s="121">
        <v>3423</v>
      </c>
      <c r="J51" s="121">
        <v>2748</v>
      </c>
      <c r="K51" s="121">
        <v>2664</v>
      </c>
      <c r="L51" s="121">
        <v>2438</v>
      </c>
      <c r="M51" s="121">
        <v>1951</v>
      </c>
      <c r="N51" s="121">
        <f t="shared" si="0"/>
        <v>30449</v>
      </c>
    </row>
    <row r="52" spans="1:14">
      <c r="A52" s="118" t="s">
        <v>7</v>
      </c>
      <c r="B52" s="123">
        <f>SUM(B5:B51)</f>
        <v>324483</v>
      </c>
      <c r="C52" s="123">
        <f t="shared" ref="C52:N52" si="1">SUM(C5:C51)</f>
        <v>294600</v>
      </c>
      <c r="D52" s="123">
        <f t="shared" si="1"/>
        <v>280568</v>
      </c>
      <c r="E52" s="123">
        <f t="shared" si="1"/>
        <v>251375</v>
      </c>
      <c r="F52" s="123">
        <f t="shared" si="1"/>
        <v>275008</v>
      </c>
      <c r="G52" s="123">
        <f t="shared" si="1"/>
        <v>267751</v>
      </c>
      <c r="H52" s="123">
        <f t="shared" si="1"/>
        <v>335960</v>
      </c>
      <c r="I52" s="123">
        <f t="shared" si="1"/>
        <v>360340</v>
      </c>
      <c r="J52" s="123">
        <f t="shared" si="1"/>
        <v>235779</v>
      </c>
      <c r="K52" s="123">
        <f t="shared" si="1"/>
        <v>243749</v>
      </c>
      <c r="L52" s="123">
        <f t="shared" si="1"/>
        <v>210408</v>
      </c>
      <c r="M52" s="123">
        <f t="shared" si="1"/>
        <v>216784</v>
      </c>
      <c r="N52" s="123">
        <f t="shared" si="1"/>
        <v>3296805</v>
      </c>
    </row>
    <row r="53" spans="1:14">
      <c r="A53" s="118" t="s">
        <v>71</v>
      </c>
      <c r="B53" s="123">
        <v>0</v>
      </c>
      <c r="C53" s="123">
        <v>0</v>
      </c>
      <c r="D53" s="123">
        <v>0</v>
      </c>
      <c r="E53" s="142">
        <v>0</v>
      </c>
      <c r="F53" s="142">
        <v>0</v>
      </c>
      <c r="G53" s="142">
        <v>0</v>
      </c>
      <c r="H53" s="142">
        <v>0</v>
      </c>
      <c r="I53" s="142">
        <v>0</v>
      </c>
      <c r="J53" s="142">
        <v>0</v>
      </c>
      <c r="K53" s="142">
        <v>0</v>
      </c>
      <c r="L53" s="142">
        <v>0</v>
      </c>
      <c r="M53" s="142">
        <v>0</v>
      </c>
      <c r="N53" s="143">
        <f t="shared" si="0"/>
        <v>0</v>
      </c>
    </row>
    <row r="54" spans="1:14">
      <c r="A54" s="118" t="s">
        <v>4</v>
      </c>
      <c r="B54" s="123">
        <f>B52+B53</f>
        <v>324483</v>
      </c>
      <c r="C54" s="123">
        <f t="shared" ref="C54:N54" si="2">C52+C53</f>
        <v>294600</v>
      </c>
      <c r="D54" s="123">
        <f t="shared" si="2"/>
        <v>280568</v>
      </c>
      <c r="E54" s="142">
        <f t="shared" si="2"/>
        <v>251375</v>
      </c>
      <c r="F54" s="142">
        <f t="shared" si="2"/>
        <v>275008</v>
      </c>
      <c r="G54" s="142">
        <f t="shared" si="2"/>
        <v>267751</v>
      </c>
      <c r="H54" s="142">
        <f t="shared" si="2"/>
        <v>335960</v>
      </c>
      <c r="I54" s="142">
        <f t="shared" si="2"/>
        <v>360340</v>
      </c>
      <c r="J54" s="142">
        <f t="shared" si="2"/>
        <v>235779</v>
      </c>
      <c r="K54" s="142">
        <f t="shared" si="2"/>
        <v>243749</v>
      </c>
      <c r="L54" s="142">
        <f t="shared" si="2"/>
        <v>210408</v>
      </c>
      <c r="M54" s="142">
        <f t="shared" si="2"/>
        <v>216784</v>
      </c>
      <c r="N54" s="142">
        <f t="shared" si="2"/>
        <v>3296805</v>
      </c>
    </row>
  </sheetData>
  <mergeCells count="15">
    <mergeCell ref="N2:N4"/>
    <mergeCell ref="A2:A4"/>
    <mergeCell ref="A1:N1"/>
    <mergeCell ref="H2:H4"/>
    <mergeCell ref="I2:I4"/>
    <mergeCell ref="J2:J4"/>
    <mergeCell ref="K2:K4"/>
    <mergeCell ref="L2:L4"/>
    <mergeCell ref="M2:M4"/>
    <mergeCell ref="B2:B4"/>
    <mergeCell ref="C2:C4"/>
    <mergeCell ref="D2:D4"/>
    <mergeCell ref="E2:E4"/>
    <mergeCell ref="F2:F4"/>
    <mergeCell ref="G2:G4"/>
  </mergeCells>
  <phoneticPr fontId="5"/>
  <printOptions horizontalCentered="1"/>
  <pageMargins left="0" right="0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16" workbookViewId="0">
      <selection activeCell="K37" sqref="K37"/>
    </sheetView>
  </sheetViews>
  <sheetFormatPr defaultRowHeight="13.5"/>
  <cols>
    <col min="1" max="1" width="7.625" customWidth="1"/>
    <col min="2" max="7" width="12.625" customWidth="1"/>
  </cols>
  <sheetData>
    <row r="1" spans="1:7">
      <c r="A1" s="163" t="s">
        <v>73</v>
      </c>
      <c r="B1" s="163"/>
      <c r="C1" s="163"/>
      <c r="D1" s="163"/>
      <c r="E1" s="163"/>
      <c r="F1" s="163"/>
      <c r="G1" s="163"/>
    </row>
    <row r="2" spans="1:7">
      <c r="A2" s="162" t="s">
        <v>74</v>
      </c>
      <c r="B2" s="159" t="s">
        <v>75</v>
      </c>
      <c r="C2" s="169"/>
      <c r="D2" s="159" t="s">
        <v>76</v>
      </c>
      <c r="E2" s="159"/>
      <c r="F2" s="159" t="s">
        <v>79</v>
      </c>
      <c r="G2" s="159"/>
    </row>
    <row r="3" spans="1:7">
      <c r="A3" s="162"/>
      <c r="B3" s="124" t="s">
        <v>77</v>
      </c>
      <c r="C3" s="124" t="s">
        <v>78</v>
      </c>
      <c r="D3" s="124" t="s">
        <v>77</v>
      </c>
      <c r="E3" s="124" t="s">
        <v>78</v>
      </c>
      <c r="F3" s="124" t="s">
        <v>77</v>
      </c>
      <c r="G3" s="124" t="s">
        <v>78</v>
      </c>
    </row>
    <row r="4" spans="1:7">
      <c r="A4" s="125" t="s">
        <v>24</v>
      </c>
      <c r="B4" s="114">
        <v>107425</v>
      </c>
      <c r="C4" s="126">
        <v>0.97499999999999998</v>
      </c>
      <c r="D4" s="114">
        <v>112212</v>
      </c>
      <c r="E4" s="126">
        <v>1.0449999999999999</v>
      </c>
      <c r="F4" s="114">
        <v>94152</v>
      </c>
      <c r="G4" s="126">
        <f>F4/D4</f>
        <v>0.83905464656186501</v>
      </c>
    </row>
    <row r="5" spans="1:7">
      <c r="A5" s="125" t="s">
        <v>25</v>
      </c>
      <c r="B5" s="114">
        <v>16435</v>
      </c>
      <c r="C5" s="126">
        <v>0.86799999999999999</v>
      </c>
      <c r="D5" s="114">
        <v>18765</v>
      </c>
      <c r="E5" s="126">
        <v>1.1419999999999999</v>
      </c>
      <c r="F5" s="114">
        <v>14969</v>
      </c>
      <c r="G5" s="126">
        <f t="shared" ref="G5:G52" si="0">F5/D5</f>
        <v>0.79770849986677328</v>
      </c>
    </row>
    <row r="6" spans="1:7">
      <c r="A6" s="125" t="s">
        <v>26</v>
      </c>
      <c r="B6" s="114">
        <v>16759</v>
      </c>
      <c r="C6" s="126">
        <v>0.86099999999999999</v>
      </c>
      <c r="D6" s="114">
        <v>20756</v>
      </c>
      <c r="E6" s="126">
        <v>1.238</v>
      </c>
      <c r="F6" s="114">
        <v>16733</v>
      </c>
      <c r="G6" s="126">
        <f t="shared" si="0"/>
        <v>0.8061765272692234</v>
      </c>
    </row>
    <row r="7" spans="1:7">
      <c r="A7" s="125" t="s">
        <v>27</v>
      </c>
      <c r="B7" s="114">
        <v>44413</v>
      </c>
      <c r="C7" s="126">
        <v>0.90500000000000003</v>
      </c>
      <c r="D7" s="114">
        <v>57878</v>
      </c>
      <c r="E7" s="126">
        <v>1.3029999999999999</v>
      </c>
      <c r="F7" s="114">
        <v>47404</v>
      </c>
      <c r="G7" s="126">
        <f t="shared" si="0"/>
        <v>0.81903313867099758</v>
      </c>
    </row>
    <row r="8" spans="1:7">
      <c r="A8" s="125" t="s">
        <v>28</v>
      </c>
      <c r="B8" s="114">
        <v>15101</v>
      </c>
      <c r="C8" s="126">
        <v>0.94799999999999995</v>
      </c>
      <c r="D8" s="114">
        <v>16378</v>
      </c>
      <c r="E8" s="126">
        <v>1.085</v>
      </c>
      <c r="F8" s="114">
        <v>12669</v>
      </c>
      <c r="G8" s="126">
        <f t="shared" si="0"/>
        <v>0.77353767248748317</v>
      </c>
    </row>
    <row r="9" spans="1:7">
      <c r="A9" s="125" t="s">
        <v>29</v>
      </c>
      <c r="B9" s="114">
        <v>19643</v>
      </c>
      <c r="C9" s="126">
        <v>0.92800000000000005</v>
      </c>
      <c r="D9" s="114">
        <v>21430</v>
      </c>
      <c r="E9" s="126">
        <v>1.091</v>
      </c>
      <c r="F9" s="114">
        <v>18776</v>
      </c>
      <c r="G9" s="126">
        <f t="shared" si="0"/>
        <v>0.87615492300513298</v>
      </c>
    </row>
    <row r="10" spans="1:7">
      <c r="A10" s="125" t="s">
        <v>30</v>
      </c>
      <c r="B10" s="114">
        <v>33955</v>
      </c>
      <c r="C10" s="126">
        <v>0.84099999999999997</v>
      </c>
      <c r="D10" s="114">
        <v>42709</v>
      </c>
      <c r="E10" s="126">
        <v>1.258</v>
      </c>
      <c r="F10" s="114">
        <v>35038</v>
      </c>
      <c r="G10" s="126">
        <f t="shared" si="0"/>
        <v>0.82038914514505135</v>
      </c>
    </row>
    <row r="11" spans="1:7">
      <c r="A11" s="125" t="s">
        <v>31</v>
      </c>
      <c r="B11" s="114">
        <v>80621</v>
      </c>
      <c r="C11" s="126">
        <v>0.89900000000000002</v>
      </c>
      <c r="D11" s="114">
        <v>81234</v>
      </c>
      <c r="E11" s="126">
        <v>1.008</v>
      </c>
      <c r="F11" s="114">
        <v>65964</v>
      </c>
      <c r="G11" s="126">
        <f t="shared" si="0"/>
        <v>0.81202452175197581</v>
      </c>
    </row>
    <row r="12" spans="1:7">
      <c r="A12" s="125" t="s">
        <v>32</v>
      </c>
      <c r="B12" s="114">
        <v>51412</v>
      </c>
      <c r="C12" s="126">
        <v>0.95399999999999996</v>
      </c>
      <c r="D12" s="114">
        <v>52019</v>
      </c>
      <c r="E12" s="126">
        <v>1.012</v>
      </c>
      <c r="F12" s="114">
        <v>43098</v>
      </c>
      <c r="G12" s="126">
        <f t="shared" si="0"/>
        <v>0.82850496933812645</v>
      </c>
    </row>
    <row r="13" spans="1:7">
      <c r="A13" s="125" t="s">
        <v>33</v>
      </c>
      <c r="B13" s="114">
        <v>48991</v>
      </c>
      <c r="C13" s="126">
        <v>0.95099999999999996</v>
      </c>
      <c r="D13" s="114">
        <v>49020</v>
      </c>
      <c r="E13" s="126">
        <v>1.0009999999999999</v>
      </c>
      <c r="F13" s="114">
        <v>41167</v>
      </c>
      <c r="G13" s="126">
        <f t="shared" si="0"/>
        <v>0.83980008159934716</v>
      </c>
    </row>
    <row r="14" spans="1:7">
      <c r="A14" s="125" t="s">
        <v>34</v>
      </c>
      <c r="B14" s="114">
        <v>242331</v>
      </c>
      <c r="C14" s="126">
        <v>0.93700000000000006</v>
      </c>
      <c r="D14" s="114">
        <v>240533</v>
      </c>
      <c r="E14" s="126">
        <v>0.99299999999999999</v>
      </c>
      <c r="F14" s="114">
        <v>202547</v>
      </c>
      <c r="G14" s="126">
        <f t="shared" si="0"/>
        <v>0.84207572349739956</v>
      </c>
    </row>
    <row r="15" spans="1:7">
      <c r="A15" s="125" t="s">
        <v>35</v>
      </c>
      <c r="B15" s="114">
        <v>226683</v>
      </c>
      <c r="C15" s="126">
        <v>0.91800000000000004</v>
      </c>
      <c r="D15" s="114">
        <v>218666</v>
      </c>
      <c r="E15" s="126">
        <v>0.96499999999999997</v>
      </c>
      <c r="F15" s="114">
        <v>183227</v>
      </c>
      <c r="G15" s="126">
        <f t="shared" si="0"/>
        <v>0.83793090832593997</v>
      </c>
    </row>
    <row r="16" spans="1:7">
      <c r="A16" s="125" t="s">
        <v>36</v>
      </c>
      <c r="B16" s="114">
        <v>633272</v>
      </c>
      <c r="C16" s="126">
        <v>0.94299999999999995</v>
      </c>
      <c r="D16" s="114">
        <v>599251</v>
      </c>
      <c r="E16" s="126">
        <v>0.94599999999999995</v>
      </c>
      <c r="F16" s="114">
        <v>525067</v>
      </c>
      <c r="G16" s="126">
        <f t="shared" si="0"/>
        <v>0.87620546315316949</v>
      </c>
    </row>
    <row r="17" spans="1:7">
      <c r="A17" s="125" t="s">
        <v>37</v>
      </c>
      <c r="B17" s="114">
        <v>382067</v>
      </c>
      <c r="C17" s="126">
        <v>0.93300000000000005</v>
      </c>
      <c r="D17" s="114">
        <v>364763</v>
      </c>
      <c r="E17" s="126">
        <v>0.95499999999999996</v>
      </c>
      <c r="F17" s="114">
        <v>310358</v>
      </c>
      <c r="G17" s="126">
        <f t="shared" si="0"/>
        <v>0.85084835907150669</v>
      </c>
    </row>
    <row r="18" spans="1:7">
      <c r="A18" s="125" t="s">
        <v>38</v>
      </c>
      <c r="B18" s="114">
        <v>48363</v>
      </c>
      <c r="C18" s="126">
        <v>0.95399999999999996</v>
      </c>
      <c r="D18" s="114">
        <v>50372</v>
      </c>
      <c r="E18" s="126">
        <v>1.042</v>
      </c>
      <c r="F18" s="114">
        <v>42690</v>
      </c>
      <c r="G18" s="126">
        <f t="shared" si="0"/>
        <v>0.84749463987929807</v>
      </c>
    </row>
    <row r="19" spans="1:7">
      <c r="A19" s="125" t="s">
        <v>39</v>
      </c>
      <c r="B19" s="114">
        <v>27450</v>
      </c>
      <c r="C19" s="126">
        <v>1.0269999999999999</v>
      </c>
      <c r="D19" s="114">
        <v>27736</v>
      </c>
      <c r="E19" s="126">
        <v>1.01</v>
      </c>
      <c r="F19" s="114">
        <v>23874</v>
      </c>
      <c r="G19" s="126">
        <f t="shared" si="0"/>
        <v>0.86075858090568214</v>
      </c>
    </row>
    <row r="20" spans="1:7">
      <c r="A20" s="125" t="s">
        <v>40</v>
      </c>
      <c r="B20" s="114">
        <v>30491</v>
      </c>
      <c r="C20" s="126">
        <v>0.997</v>
      </c>
      <c r="D20" s="114">
        <v>30930</v>
      </c>
      <c r="E20" s="126">
        <v>1.014</v>
      </c>
      <c r="F20" s="114">
        <v>26946</v>
      </c>
      <c r="G20" s="126">
        <f t="shared" si="0"/>
        <v>0.87119301648884573</v>
      </c>
    </row>
    <row r="21" spans="1:7">
      <c r="A21" s="125" t="s">
        <v>41</v>
      </c>
      <c r="B21" s="114">
        <v>20171</v>
      </c>
      <c r="C21" s="126">
        <v>0.94499999999999995</v>
      </c>
      <c r="D21" s="114">
        <v>20828</v>
      </c>
      <c r="E21" s="126">
        <v>1.0329999999999999</v>
      </c>
      <c r="F21" s="114">
        <v>17264</v>
      </c>
      <c r="G21" s="126">
        <f t="shared" si="0"/>
        <v>0.8288841943537546</v>
      </c>
    </row>
    <row r="22" spans="1:7">
      <c r="A22" s="125" t="s">
        <v>42</v>
      </c>
      <c r="B22" s="114">
        <v>23859</v>
      </c>
      <c r="C22" s="126">
        <v>0.91500000000000004</v>
      </c>
      <c r="D22" s="114">
        <v>23761</v>
      </c>
      <c r="E22" s="126">
        <v>0.996</v>
      </c>
      <c r="F22" s="114">
        <v>19481</v>
      </c>
      <c r="G22" s="126">
        <f t="shared" si="0"/>
        <v>0.81987290097218135</v>
      </c>
    </row>
    <row r="23" spans="1:7">
      <c r="A23" s="125" t="s">
        <v>43</v>
      </c>
      <c r="B23" s="114">
        <v>51635</v>
      </c>
      <c r="C23" s="126">
        <v>0.95099999999999996</v>
      </c>
      <c r="D23" s="114">
        <v>50402</v>
      </c>
      <c r="E23" s="126">
        <v>0.97599999999999998</v>
      </c>
      <c r="F23" s="114">
        <v>42327</v>
      </c>
      <c r="G23" s="126">
        <f t="shared" si="0"/>
        <v>0.83978810364668066</v>
      </c>
    </row>
    <row r="24" spans="1:7">
      <c r="A24" s="125" t="s">
        <v>44</v>
      </c>
      <c r="B24" s="114">
        <v>60984</v>
      </c>
      <c r="C24" s="126">
        <v>0.94199999999999995</v>
      </c>
      <c r="D24" s="114">
        <v>60109</v>
      </c>
      <c r="E24" s="126">
        <v>0.98599999999999999</v>
      </c>
      <c r="F24" s="114">
        <v>48619</v>
      </c>
      <c r="G24" s="126">
        <f t="shared" si="0"/>
        <v>0.8088472608095294</v>
      </c>
    </row>
    <row r="25" spans="1:7">
      <c r="A25" s="125" t="s">
        <v>45</v>
      </c>
      <c r="B25" s="114">
        <v>115920</v>
      </c>
      <c r="C25" s="126">
        <v>0.93600000000000005</v>
      </c>
      <c r="D25" s="114">
        <v>114096</v>
      </c>
      <c r="E25" s="126">
        <v>0.98399999999999999</v>
      </c>
      <c r="F25" s="114">
        <v>91079</v>
      </c>
      <c r="G25" s="126">
        <f t="shared" si="0"/>
        <v>0.79826637217781515</v>
      </c>
    </row>
    <row r="26" spans="1:7">
      <c r="A26" s="125" t="s">
        <v>46</v>
      </c>
      <c r="B26" s="114">
        <v>266364</v>
      </c>
      <c r="C26" s="126">
        <v>0.95199999999999996</v>
      </c>
      <c r="D26" s="114">
        <v>259968</v>
      </c>
      <c r="E26" s="126">
        <v>0.97599999999999998</v>
      </c>
      <c r="F26" s="114">
        <v>219408</v>
      </c>
      <c r="G26" s="126">
        <f t="shared" si="0"/>
        <v>0.84398079763663225</v>
      </c>
    </row>
    <row r="27" spans="1:7">
      <c r="A27" s="125" t="s">
        <v>47</v>
      </c>
      <c r="B27" s="114">
        <v>53894</v>
      </c>
      <c r="C27" s="126">
        <v>0.92400000000000004</v>
      </c>
      <c r="D27" s="114">
        <v>54100</v>
      </c>
      <c r="E27" s="126">
        <v>1.004</v>
      </c>
      <c r="F27" s="114">
        <v>43102</v>
      </c>
      <c r="G27" s="126">
        <f t="shared" si="0"/>
        <v>0.79670979667282804</v>
      </c>
    </row>
    <row r="28" spans="1:7">
      <c r="A28" s="125" t="s">
        <v>48</v>
      </c>
      <c r="B28" s="114">
        <v>48512</v>
      </c>
      <c r="C28" s="126">
        <v>0.96399999999999997</v>
      </c>
      <c r="D28" s="114">
        <v>47778</v>
      </c>
      <c r="E28" s="126">
        <v>0.98499999999999999</v>
      </c>
      <c r="F28" s="114">
        <v>41095</v>
      </c>
      <c r="G28" s="126">
        <f t="shared" si="0"/>
        <v>0.86012390640043535</v>
      </c>
    </row>
    <row r="29" spans="1:7">
      <c r="A29" s="125" t="s">
        <v>49</v>
      </c>
      <c r="B29" s="114">
        <v>92081</v>
      </c>
      <c r="C29" s="126">
        <v>0.94599999999999995</v>
      </c>
      <c r="D29" s="114">
        <v>90777</v>
      </c>
      <c r="E29" s="126">
        <v>0.98599999999999999</v>
      </c>
      <c r="F29" s="114">
        <v>77640</v>
      </c>
      <c r="G29" s="126">
        <f t="shared" si="0"/>
        <v>0.85528272580058828</v>
      </c>
    </row>
    <row r="30" spans="1:7">
      <c r="A30" s="125" t="s">
        <v>50</v>
      </c>
      <c r="B30" s="114">
        <v>309902</v>
      </c>
      <c r="C30" s="126">
        <v>0.94899999999999995</v>
      </c>
      <c r="D30" s="114">
        <v>304696</v>
      </c>
      <c r="E30" s="126">
        <v>0.98299999999999998</v>
      </c>
      <c r="F30" s="114">
        <v>264923</v>
      </c>
      <c r="G30" s="126">
        <f t="shared" si="0"/>
        <v>0.86946661590568963</v>
      </c>
    </row>
    <row r="31" spans="1:7">
      <c r="A31" s="125" t="s">
        <v>51</v>
      </c>
      <c r="B31" s="114">
        <v>195875</v>
      </c>
      <c r="C31" s="126">
        <v>0.94399999999999995</v>
      </c>
      <c r="D31" s="114">
        <v>189637</v>
      </c>
      <c r="E31" s="126">
        <v>0.96799999999999997</v>
      </c>
      <c r="F31" s="114">
        <v>158025</v>
      </c>
      <c r="G31" s="126">
        <f t="shared" si="0"/>
        <v>0.8333025728101584</v>
      </c>
    </row>
    <row r="32" spans="1:7">
      <c r="A32" s="125" t="s">
        <v>52</v>
      </c>
      <c r="B32" s="114">
        <v>49616</v>
      </c>
      <c r="C32" s="126">
        <v>0.93100000000000005</v>
      </c>
      <c r="D32" s="114">
        <v>48305</v>
      </c>
      <c r="E32" s="126">
        <v>0.97399999999999998</v>
      </c>
      <c r="F32" s="114">
        <v>38874</v>
      </c>
      <c r="G32" s="126">
        <f t="shared" si="0"/>
        <v>0.80476141186212602</v>
      </c>
    </row>
    <row r="33" spans="1:7">
      <c r="A33" s="125" t="s">
        <v>53</v>
      </c>
      <c r="B33" s="114">
        <v>24677</v>
      </c>
      <c r="C33" s="126">
        <v>0.93400000000000005</v>
      </c>
      <c r="D33" s="114">
        <v>24649</v>
      </c>
      <c r="E33" s="126">
        <v>0.999</v>
      </c>
      <c r="F33" s="114">
        <v>19695</v>
      </c>
      <c r="G33" s="126">
        <f t="shared" si="0"/>
        <v>0.79901821574911758</v>
      </c>
    </row>
    <row r="34" spans="1:7">
      <c r="A34" s="125" t="s">
        <v>54</v>
      </c>
      <c r="B34" s="114">
        <v>12241</v>
      </c>
      <c r="C34" s="126">
        <v>0.93600000000000005</v>
      </c>
      <c r="D34" s="114">
        <v>11607</v>
      </c>
      <c r="E34" s="126">
        <v>0.94799999999999995</v>
      </c>
      <c r="F34" s="114">
        <v>10156</v>
      </c>
      <c r="G34" s="126">
        <f t="shared" si="0"/>
        <v>0.87498923063668477</v>
      </c>
    </row>
    <row r="35" spans="1:7">
      <c r="A35" s="125" t="s">
        <v>55</v>
      </c>
      <c r="B35" s="114">
        <v>11984</v>
      </c>
      <c r="C35" s="126">
        <v>0.97</v>
      </c>
      <c r="D35" s="114">
        <v>12100</v>
      </c>
      <c r="E35" s="126">
        <v>1.01</v>
      </c>
      <c r="F35" s="114">
        <v>9582</v>
      </c>
      <c r="G35" s="126">
        <f t="shared" si="0"/>
        <v>0.79190082644628101</v>
      </c>
    </row>
    <row r="36" spans="1:7">
      <c r="A36" s="125" t="s">
        <v>56</v>
      </c>
      <c r="B36" s="114">
        <v>46434</v>
      </c>
      <c r="C36" s="126">
        <v>0.98399999999999999</v>
      </c>
      <c r="D36" s="114">
        <v>45847</v>
      </c>
      <c r="E36" s="126">
        <v>0.98699999999999999</v>
      </c>
      <c r="F36" s="114">
        <v>38773</v>
      </c>
      <c r="G36" s="126">
        <f t="shared" si="0"/>
        <v>0.84570419002333852</v>
      </c>
    </row>
    <row r="37" spans="1:7">
      <c r="A37" s="125" t="s">
        <v>57</v>
      </c>
      <c r="B37" s="114">
        <v>74771</v>
      </c>
      <c r="C37" s="126">
        <v>0.97699999999999998</v>
      </c>
      <c r="D37" s="114">
        <v>74825</v>
      </c>
      <c r="E37" s="126">
        <v>1.0009999999999999</v>
      </c>
      <c r="F37" s="114">
        <v>61397</v>
      </c>
      <c r="G37" s="126">
        <f t="shared" si="0"/>
        <v>0.82054126294687602</v>
      </c>
    </row>
    <row r="38" spans="1:7">
      <c r="A38" s="125" t="s">
        <v>58</v>
      </c>
      <c r="B38" s="114">
        <v>31427</v>
      </c>
      <c r="C38" s="126">
        <v>0.94899999999999995</v>
      </c>
      <c r="D38" s="114">
        <v>31838</v>
      </c>
      <c r="E38" s="126">
        <v>1.0129999999999999</v>
      </c>
      <c r="F38" s="114">
        <v>25215</v>
      </c>
      <c r="G38" s="126">
        <f t="shared" si="0"/>
        <v>0.79197813933035999</v>
      </c>
    </row>
    <row r="39" spans="1:7">
      <c r="A39" s="125" t="s">
        <v>59</v>
      </c>
      <c r="B39" s="114">
        <v>16664</v>
      </c>
      <c r="C39" s="126">
        <v>0.89</v>
      </c>
      <c r="D39" s="114">
        <v>15902</v>
      </c>
      <c r="E39" s="126">
        <v>0.95399999999999996</v>
      </c>
      <c r="F39" s="114">
        <v>13153</v>
      </c>
      <c r="G39" s="126">
        <f t="shared" si="0"/>
        <v>0.8271286630612501</v>
      </c>
    </row>
    <row r="40" spans="1:7">
      <c r="A40" s="125" t="s">
        <v>60</v>
      </c>
      <c r="B40" s="114">
        <v>22225</v>
      </c>
      <c r="C40" s="126">
        <v>0.93600000000000005</v>
      </c>
      <c r="D40" s="114">
        <v>22579</v>
      </c>
      <c r="E40" s="126">
        <v>1.016</v>
      </c>
      <c r="F40" s="114">
        <v>18511</v>
      </c>
      <c r="G40" s="126">
        <f t="shared" si="0"/>
        <v>0.81983258780282564</v>
      </c>
    </row>
    <row r="41" spans="1:7">
      <c r="A41" s="125" t="s">
        <v>61</v>
      </c>
      <c r="B41" s="114">
        <v>27965</v>
      </c>
      <c r="C41" s="126">
        <v>0.98299999999999998</v>
      </c>
      <c r="D41" s="114">
        <v>26882</v>
      </c>
      <c r="E41" s="126">
        <v>0.96099999999999997</v>
      </c>
      <c r="F41" s="114">
        <v>21871</v>
      </c>
      <c r="G41" s="126">
        <f t="shared" si="0"/>
        <v>0.81359273863551818</v>
      </c>
    </row>
    <row r="42" spans="1:7">
      <c r="A42" s="125" t="s">
        <v>62</v>
      </c>
      <c r="B42" s="114">
        <v>12532</v>
      </c>
      <c r="C42" s="126">
        <v>0.96099999999999997</v>
      </c>
      <c r="D42" s="114">
        <v>12597</v>
      </c>
      <c r="E42" s="126">
        <v>1.0049999999999999</v>
      </c>
      <c r="F42" s="114">
        <v>10102</v>
      </c>
      <c r="G42" s="126">
        <f t="shared" si="0"/>
        <v>0.80193696911963164</v>
      </c>
    </row>
    <row r="43" spans="1:7">
      <c r="A43" s="125" t="s">
        <v>63</v>
      </c>
      <c r="B43" s="114">
        <v>165230</v>
      </c>
      <c r="C43" s="126">
        <v>0.99099999999999999</v>
      </c>
      <c r="D43" s="114">
        <v>167433</v>
      </c>
      <c r="E43" s="126">
        <v>1.0129999999999999</v>
      </c>
      <c r="F43" s="114">
        <v>136294</v>
      </c>
      <c r="G43" s="126">
        <f t="shared" si="0"/>
        <v>0.81402113084039585</v>
      </c>
    </row>
    <row r="44" spans="1:7">
      <c r="A44" s="125" t="s">
        <v>64</v>
      </c>
      <c r="B44" s="114">
        <v>20239</v>
      </c>
      <c r="C44" s="126">
        <v>1.0089999999999999</v>
      </c>
      <c r="D44" s="114">
        <v>22225</v>
      </c>
      <c r="E44" s="126">
        <v>1.0980000000000001</v>
      </c>
      <c r="F44" s="114">
        <v>16471</v>
      </c>
      <c r="G44" s="126">
        <f t="shared" si="0"/>
        <v>0.74110236220472436</v>
      </c>
    </row>
    <row r="45" spans="1:7">
      <c r="A45" s="125" t="s">
        <v>65</v>
      </c>
      <c r="B45" s="114">
        <v>28719</v>
      </c>
      <c r="C45" s="126">
        <v>0.97199999999999998</v>
      </c>
      <c r="D45" s="114">
        <v>29926</v>
      </c>
      <c r="E45" s="126">
        <v>1.042</v>
      </c>
      <c r="F45" s="114">
        <v>23321</v>
      </c>
      <c r="G45" s="126">
        <f t="shared" si="0"/>
        <v>0.77928891265120626</v>
      </c>
    </row>
    <row r="46" spans="1:7">
      <c r="A46" s="125" t="s">
        <v>66</v>
      </c>
      <c r="B46" s="114">
        <v>41252</v>
      </c>
      <c r="C46" s="126">
        <v>0.996</v>
      </c>
      <c r="D46" s="114">
        <v>42147</v>
      </c>
      <c r="E46" s="126">
        <v>1.022</v>
      </c>
      <c r="F46" s="114">
        <v>33332</v>
      </c>
      <c r="G46" s="126">
        <f t="shared" si="0"/>
        <v>0.79085106887797474</v>
      </c>
    </row>
    <row r="47" spans="1:7">
      <c r="A47" s="125" t="s">
        <v>67</v>
      </c>
      <c r="B47" s="114">
        <v>27292</v>
      </c>
      <c r="C47" s="126">
        <v>1.0449999999999999</v>
      </c>
      <c r="D47" s="114">
        <v>28162</v>
      </c>
      <c r="E47" s="126">
        <v>1.032</v>
      </c>
      <c r="F47" s="114">
        <v>20688</v>
      </c>
      <c r="G47" s="126">
        <f t="shared" si="0"/>
        <v>0.73460691712236348</v>
      </c>
    </row>
    <row r="48" spans="1:7">
      <c r="A48" s="125" t="s">
        <v>68</v>
      </c>
      <c r="B48" s="114">
        <v>19955</v>
      </c>
      <c r="C48" s="126">
        <v>1.0349999999999999</v>
      </c>
      <c r="D48" s="114">
        <v>20469</v>
      </c>
      <c r="E48" s="126">
        <v>1.026</v>
      </c>
      <c r="F48" s="114">
        <v>16838</v>
      </c>
      <c r="G48" s="126">
        <f t="shared" si="0"/>
        <v>0.82260980018564656</v>
      </c>
    </row>
    <row r="49" spans="1:7">
      <c r="A49" s="125" t="s">
        <v>69</v>
      </c>
      <c r="B49" s="114">
        <v>29338</v>
      </c>
      <c r="C49" s="126">
        <v>1.0169999999999999</v>
      </c>
      <c r="D49" s="114">
        <v>30501</v>
      </c>
      <c r="E49" s="126">
        <v>1.04</v>
      </c>
      <c r="F49" s="114">
        <v>24441</v>
      </c>
      <c r="G49" s="126">
        <f t="shared" si="0"/>
        <v>0.80131798957411238</v>
      </c>
    </row>
    <row r="50" spans="1:7">
      <c r="A50" s="125" t="s">
        <v>70</v>
      </c>
      <c r="B50" s="114">
        <v>34212</v>
      </c>
      <c r="C50" s="126">
        <v>1.077</v>
      </c>
      <c r="D50" s="114">
        <v>35210</v>
      </c>
      <c r="E50" s="126">
        <v>1.0289999999999999</v>
      </c>
      <c r="F50" s="114">
        <v>30449</v>
      </c>
      <c r="G50" s="126">
        <f t="shared" si="0"/>
        <v>0.86478273217835844</v>
      </c>
    </row>
    <row r="51" spans="1:7">
      <c r="A51" s="125" t="s">
        <v>71</v>
      </c>
      <c r="B51" s="127">
        <v>0</v>
      </c>
      <c r="C51" s="126">
        <v>0</v>
      </c>
      <c r="D51" s="127">
        <v>0</v>
      </c>
      <c r="E51" s="126">
        <v>0</v>
      </c>
      <c r="F51" s="144">
        <v>0</v>
      </c>
      <c r="G51" s="126">
        <v>0</v>
      </c>
    </row>
    <row r="52" spans="1:7">
      <c r="A52" s="125" t="s">
        <v>4</v>
      </c>
      <c r="B52" s="128">
        <v>3961382</v>
      </c>
      <c r="C52" s="126">
        <v>0.94699999999999995</v>
      </c>
      <c r="D52" s="128">
        <v>3924008</v>
      </c>
      <c r="E52" s="126">
        <v>0.99099999999999999</v>
      </c>
      <c r="F52" s="145">
        <f>SUM(F4:F51)</f>
        <v>3296805</v>
      </c>
      <c r="G52" s="126">
        <f t="shared" si="0"/>
        <v>0.84016266021883745</v>
      </c>
    </row>
  </sheetData>
  <mergeCells count="5">
    <mergeCell ref="A1:G1"/>
    <mergeCell ref="A2:A3"/>
    <mergeCell ref="B2:C2"/>
    <mergeCell ref="D2:E2"/>
    <mergeCell ref="F2:G2"/>
  </mergeCells>
  <phoneticPr fontId="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25" workbookViewId="0">
      <selection activeCell="M49" sqref="M49"/>
    </sheetView>
  </sheetViews>
  <sheetFormatPr defaultRowHeight="13.5"/>
  <cols>
    <col min="1" max="9" width="8.625" style="2" customWidth="1"/>
    <col min="10" max="11" width="10.625" style="2" customWidth="1"/>
    <col min="12" max="12" width="6.625" style="2" customWidth="1"/>
    <col min="13" max="16384" width="9" style="2"/>
  </cols>
  <sheetData>
    <row r="1" spans="1:12">
      <c r="A1" s="170" t="s">
        <v>85</v>
      </c>
      <c r="B1" s="170"/>
      <c r="C1" s="170"/>
      <c r="D1" s="170"/>
      <c r="E1" s="170"/>
      <c r="F1" s="170"/>
      <c r="G1" s="170"/>
      <c r="H1" s="170"/>
      <c r="I1" s="170"/>
      <c r="J1" s="170"/>
      <c r="K1" s="27"/>
      <c r="L1" s="27"/>
    </row>
    <row r="2" spans="1:12">
      <c r="A2" s="173" t="s">
        <v>313</v>
      </c>
      <c r="B2" s="175" t="s">
        <v>11</v>
      </c>
      <c r="C2" s="175" t="s">
        <v>12</v>
      </c>
      <c r="D2" s="175" t="s">
        <v>13</v>
      </c>
      <c r="E2" s="175" t="s">
        <v>14</v>
      </c>
      <c r="F2" s="175" t="s">
        <v>15</v>
      </c>
      <c r="G2" s="175" t="s">
        <v>20</v>
      </c>
      <c r="H2" s="171" t="s">
        <v>152</v>
      </c>
      <c r="I2" s="171" t="s">
        <v>153</v>
      </c>
      <c r="J2" s="175" t="s">
        <v>82</v>
      </c>
      <c r="K2" s="28"/>
      <c r="L2" s="28"/>
    </row>
    <row r="3" spans="1:12">
      <c r="A3" s="174"/>
      <c r="B3" s="175"/>
      <c r="C3" s="175"/>
      <c r="D3" s="175"/>
      <c r="E3" s="175"/>
      <c r="F3" s="175"/>
      <c r="G3" s="175"/>
      <c r="H3" s="172"/>
      <c r="I3" s="172"/>
      <c r="J3" s="175"/>
      <c r="K3" s="28"/>
      <c r="L3" s="28"/>
    </row>
    <row r="4" spans="1:12">
      <c r="A4" s="6" t="s">
        <v>151</v>
      </c>
      <c r="B4" s="7">
        <f>2490+2359+3828+4353+302+296+425+506+308+231+324+438+134+140+158+211</f>
        <v>16503</v>
      </c>
      <c r="C4" s="8">
        <v>21399</v>
      </c>
      <c r="D4" s="8">
        <v>16102</v>
      </c>
      <c r="E4" s="9">
        <v>11737</v>
      </c>
      <c r="F4" s="9">
        <v>12410</v>
      </c>
      <c r="G4" s="9">
        <v>11392</v>
      </c>
      <c r="H4" s="10">
        <v>3798</v>
      </c>
      <c r="I4" s="9">
        <v>811</v>
      </c>
      <c r="J4" s="1">
        <f>SUM(B4:I4)</f>
        <v>94152</v>
      </c>
      <c r="K4" s="29"/>
      <c r="L4" s="29"/>
    </row>
    <row r="5" spans="1:12">
      <c r="A5" s="6" t="s">
        <v>25</v>
      </c>
      <c r="B5" s="7">
        <f>388+328+678+967+33+49+36+61+31+32+28+86+20+23+32+54</f>
        <v>2846</v>
      </c>
      <c r="C5" s="8">
        <v>2958</v>
      </c>
      <c r="D5" s="8">
        <v>2411</v>
      </c>
      <c r="E5" s="9">
        <v>1844</v>
      </c>
      <c r="F5" s="9">
        <v>2189</v>
      </c>
      <c r="G5" s="9">
        <v>1995</v>
      </c>
      <c r="H5" s="9">
        <v>611</v>
      </c>
      <c r="I5" s="9">
        <v>115</v>
      </c>
      <c r="J5" s="1">
        <f t="shared" ref="J5:J53" si="0">SUM(B5:I5)</f>
        <v>14969</v>
      </c>
      <c r="K5" s="29"/>
      <c r="L5" s="29"/>
    </row>
    <row r="6" spans="1:12">
      <c r="A6" s="6" t="s">
        <v>26</v>
      </c>
      <c r="B6" s="7">
        <f>398+398+1011+1006+37+22+65+113+38+48+51+85+18+15+27+35</f>
        <v>3367</v>
      </c>
      <c r="C6" s="8">
        <v>3511</v>
      </c>
      <c r="D6" s="8">
        <v>2770</v>
      </c>
      <c r="E6" s="9">
        <v>2038</v>
      </c>
      <c r="F6" s="9">
        <v>2218</v>
      </c>
      <c r="G6" s="9">
        <v>2048</v>
      </c>
      <c r="H6" s="9">
        <v>663</v>
      </c>
      <c r="I6" s="9">
        <v>118</v>
      </c>
      <c r="J6" s="1">
        <f t="shared" si="0"/>
        <v>16733</v>
      </c>
      <c r="K6" s="29"/>
      <c r="L6" s="29"/>
    </row>
    <row r="7" spans="1:12">
      <c r="A7" s="6" t="s">
        <v>27</v>
      </c>
      <c r="B7" s="7">
        <f>1459+1314+2032+2630+176+155+225+273+138+145+227+218+64+75+124+124</f>
        <v>9379</v>
      </c>
      <c r="C7" s="8">
        <v>11704</v>
      </c>
      <c r="D7" s="8">
        <v>8416</v>
      </c>
      <c r="E7" s="9">
        <v>5632</v>
      </c>
      <c r="F7" s="9">
        <v>5655</v>
      </c>
      <c r="G7" s="9">
        <v>4885</v>
      </c>
      <c r="H7" s="9">
        <v>1447</v>
      </c>
      <c r="I7" s="9">
        <v>286</v>
      </c>
      <c r="J7" s="1">
        <f t="shared" si="0"/>
        <v>47404</v>
      </c>
      <c r="K7" s="29"/>
      <c r="L7" s="29"/>
    </row>
    <row r="8" spans="1:12">
      <c r="A8" s="6" t="s">
        <v>28</v>
      </c>
      <c r="B8" s="7">
        <f>282+263+908+838+20+24+36+59+24+23+35+45+14+13+24+30</f>
        <v>2638</v>
      </c>
      <c r="C8" s="8">
        <v>2558</v>
      </c>
      <c r="D8" s="8">
        <v>1915</v>
      </c>
      <c r="E8" s="9">
        <v>1423</v>
      </c>
      <c r="F8" s="9">
        <v>1885</v>
      </c>
      <c r="G8" s="9">
        <v>1686</v>
      </c>
      <c r="H8" s="9">
        <v>477</v>
      </c>
      <c r="I8" s="9">
        <v>87</v>
      </c>
      <c r="J8" s="1">
        <f t="shared" si="0"/>
        <v>12669</v>
      </c>
      <c r="K8" s="29"/>
      <c r="L8" s="29"/>
    </row>
    <row r="9" spans="1:12">
      <c r="A9" s="6" t="s">
        <v>29</v>
      </c>
      <c r="B9" s="7">
        <f>392+332+1572+1845+50+43+64+72+36+46+54+64+22+22+51+46</f>
        <v>4711</v>
      </c>
      <c r="C9" s="8">
        <v>4093</v>
      </c>
      <c r="D9" s="8">
        <v>2766</v>
      </c>
      <c r="E9" s="9">
        <v>1837</v>
      </c>
      <c r="F9" s="9">
        <v>2364</v>
      </c>
      <c r="G9" s="9">
        <v>2188</v>
      </c>
      <c r="H9" s="9">
        <v>680</v>
      </c>
      <c r="I9" s="9">
        <v>137</v>
      </c>
      <c r="J9" s="1">
        <f t="shared" si="0"/>
        <v>18776</v>
      </c>
      <c r="K9" s="29"/>
      <c r="L9" s="29"/>
    </row>
    <row r="10" spans="1:12">
      <c r="A10" s="6" t="s">
        <v>30</v>
      </c>
      <c r="B10" s="7">
        <f>892+883+1843+2410+95+98+150+229+102+91+150+207+50+41+79+103</f>
        <v>7423</v>
      </c>
      <c r="C10" s="8">
        <v>7626</v>
      </c>
      <c r="D10" s="8">
        <v>5447</v>
      </c>
      <c r="E10" s="9">
        <v>4224</v>
      </c>
      <c r="F10" s="9">
        <v>4729</v>
      </c>
      <c r="G10" s="9">
        <v>4125</v>
      </c>
      <c r="H10" s="9">
        <v>1233</v>
      </c>
      <c r="I10" s="9">
        <v>231</v>
      </c>
      <c r="J10" s="1">
        <f t="shared" si="0"/>
        <v>35038</v>
      </c>
      <c r="K10" s="29"/>
      <c r="L10" s="29"/>
    </row>
    <row r="11" spans="1:12">
      <c r="A11" s="6" t="s">
        <v>31</v>
      </c>
      <c r="B11" s="7">
        <f>2256+2184+4345+4402+244+274+229+338+230+235+260+334+108+117+145+158</f>
        <v>15859</v>
      </c>
      <c r="C11" s="8">
        <v>15342</v>
      </c>
      <c r="D11" s="8">
        <v>10599</v>
      </c>
      <c r="E11" s="9">
        <v>7967</v>
      </c>
      <c r="F11" s="9">
        <v>7331</v>
      </c>
      <c r="G11" s="9">
        <v>6569</v>
      </c>
      <c r="H11" s="9">
        <v>1966</v>
      </c>
      <c r="I11" s="9">
        <v>331</v>
      </c>
      <c r="J11" s="1">
        <f t="shared" si="0"/>
        <v>65964</v>
      </c>
      <c r="K11" s="29"/>
      <c r="L11" s="29"/>
    </row>
    <row r="12" spans="1:12">
      <c r="A12" s="6" t="s">
        <v>32</v>
      </c>
      <c r="B12" s="7">
        <f>1520+1464+1741+2357+180+182+209+316+211+207+207+274+108+98+84+116</f>
        <v>9274</v>
      </c>
      <c r="C12" s="8">
        <v>9758</v>
      </c>
      <c r="D12" s="8">
        <v>7531</v>
      </c>
      <c r="E12" s="9">
        <v>5670</v>
      </c>
      <c r="F12" s="9">
        <v>5077</v>
      </c>
      <c r="G12" s="9">
        <v>4334</v>
      </c>
      <c r="H12" s="9">
        <v>1251</v>
      </c>
      <c r="I12" s="9">
        <v>203</v>
      </c>
      <c r="J12" s="1">
        <f t="shared" si="0"/>
        <v>43098</v>
      </c>
      <c r="K12" s="29"/>
      <c r="L12" s="29"/>
    </row>
    <row r="13" spans="1:12">
      <c r="A13" s="6" t="s">
        <v>33</v>
      </c>
      <c r="B13" s="7">
        <f>1455+1370+2056+2716+198+176+172+281+149+175+212+285+97+93+88+112</f>
        <v>9635</v>
      </c>
      <c r="C13" s="8">
        <v>9461</v>
      </c>
      <c r="D13" s="8">
        <v>6507</v>
      </c>
      <c r="E13" s="9">
        <v>5227</v>
      </c>
      <c r="F13" s="9">
        <v>4610</v>
      </c>
      <c r="G13" s="9">
        <v>4160</v>
      </c>
      <c r="H13" s="9">
        <v>1359</v>
      </c>
      <c r="I13" s="9">
        <v>208</v>
      </c>
      <c r="J13" s="1">
        <f t="shared" si="0"/>
        <v>41167</v>
      </c>
      <c r="K13" s="29"/>
      <c r="L13" s="29"/>
    </row>
    <row r="14" spans="1:12">
      <c r="A14" s="6" t="s">
        <v>34</v>
      </c>
      <c r="B14" s="11">
        <f>3872+2121+1464+3730+2114+1419+5995+3245+2475+6645+4053+2534+750+708+789+1151+810+763+989+1291+417+447+817+1018</f>
        <v>49617</v>
      </c>
      <c r="C14" s="8">
        <v>46083</v>
      </c>
      <c r="D14" s="8">
        <v>33471</v>
      </c>
      <c r="E14" s="9">
        <v>26679</v>
      </c>
      <c r="F14" s="9">
        <v>20817</v>
      </c>
      <c r="G14" s="9">
        <v>18716</v>
      </c>
      <c r="H14" s="9">
        <v>6303</v>
      </c>
      <c r="I14" s="9">
        <v>861</v>
      </c>
      <c r="J14" s="1">
        <f t="shared" si="0"/>
        <v>202547</v>
      </c>
      <c r="K14" s="29"/>
      <c r="L14" s="29"/>
    </row>
    <row r="15" spans="1:12">
      <c r="A15" s="6" t="s">
        <v>35</v>
      </c>
      <c r="B15" s="10">
        <f>5563+2554+5325+2461+5367+2823+6627+3217+796+803+891+1188+880+857+1187+1386+474+422+699+796</f>
        <v>44316</v>
      </c>
      <c r="C15" s="10">
        <v>39200</v>
      </c>
      <c r="D15" s="10">
        <v>31289</v>
      </c>
      <c r="E15" s="10">
        <v>24888</v>
      </c>
      <c r="F15" s="10">
        <v>19031</v>
      </c>
      <c r="G15" s="10">
        <v>17433</v>
      </c>
      <c r="H15" s="10">
        <v>6133</v>
      </c>
      <c r="I15" s="10">
        <v>937</v>
      </c>
      <c r="J15" s="1">
        <f t="shared" si="0"/>
        <v>183227</v>
      </c>
      <c r="K15" s="29"/>
      <c r="L15" s="29"/>
    </row>
    <row r="16" spans="1:12">
      <c r="A16" s="6" t="s">
        <v>36</v>
      </c>
      <c r="B16" s="10">
        <f>6770+11032+4489+3690+6571+6159+7355+10877+6691+7684+4456+5036+6009+3627+3597+4567+2463+2406+2298+2870+2459+2485+2458+3057+1469+1400+1534+1738</f>
        <v>125247</v>
      </c>
      <c r="C16" s="10">
        <v>119679</v>
      </c>
      <c r="D16" s="10">
        <v>110929</v>
      </c>
      <c r="E16" s="10">
        <v>72018</v>
      </c>
      <c r="F16" s="10">
        <v>44674</v>
      </c>
      <c r="G16" s="10">
        <v>34523</v>
      </c>
      <c r="H16" s="10">
        <v>14534</v>
      </c>
      <c r="I16" s="10">
        <v>3463</v>
      </c>
      <c r="J16" s="1">
        <f t="shared" si="0"/>
        <v>525067</v>
      </c>
      <c r="K16" s="29"/>
      <c r="L16" s="29"/>
    </row>
    <row r="17" spans="1:12">
      <c r="A17" s="6" t="s">
        <v>37</v>
      </c>
      <c r="B17" s="10">
        <f>7791+3169+3430+7651+3008+3247+7345+3645+2476+8929+4273+3319+1487+1533+1474+2001+1532+1535+2051+2417+742+737+1014+1215</f>
        <v>76021</v>
      </c>
      <c r="C17" s="10">
        <v>67271</v>
      </c>
      <c r="D17" s="10">
        <v>55812</v>
      </c>
      <c r="E17" s="10">
        <v>44478</v>
      </c>
      <c r="F17" s="10">
        <v>30609</v>
      </c>
      <c r="G17" s="10">
        <v>24837</v>
      </c>
      <c r="H17" s="10">
        <v>9432</v>
      </c>
      <c r="I17" s="10">
        <v>1898</v>
      </c>
      <c r="J17" s="1">
        <f t="shared" si="0"/>
        <v>310358</v>
      </c>
      <c r="K17" s="29"/>
      <c r="L17" s="29"/>
    </row>
    <row r="18" spans="1:12">
      <c r="A18" s="6" t="s">
        <v>38</v>
      </c>
      <c r="B18" s="7">
        <f>991+961+3738+4246+113+123+166+212+109+97+146+196+46+46+131+140</f>
        <v>11461</v>
      </c>
      <c r="C18" s="8">
        <v>9674</v>
      </c>
      <c r="D18" s="8">
        <v>6417</v>
      </c>
      <c r="E18" s="9">
        <v>4470</v>
      </c>
      <c r="F18" s="9">
        <v>4789</v>
      </c>
      <c r="G18" s="9">
        <v>4358</v>
      </c>
      <c r="H18" s="9">
        <v>1310</v>
      </c>
      <c r="I18" s="9">
        <v>211</v>
      </c>
      <c r="J18" s="1">
        <f t="shared" si="0"/>
        <v>42690</v>
      </c>
      <c r="K18" s="29"/>
      <c r="L18" s="29"/>
    </row>
    <row r="19" spans="1:12">
      <c r="A19" s="6" t="s">
        <v>39</v>
      </c>
      <c r="B19" s="7">
        <f>543+570+1330+1411+75+61+103+101+76+48+78+71+22+30+54+76</f>
        <v>4649</v>
      </c>
      <c r="C19" s="8">
        <v>5594</v>
      </c>
      <c r="D19" s="8">
        <v>3986</v>
      </c>
      <c r="E19" s="9">
        <v>2863</v>
      </c>
      <c r="F19" s="9">
        <v>2940</v>
      </c>
      <c r="G19" s="9">
        <v>2783</v>
      </c>
      <c r="H19" s="9">
        <v>916</v>
      </c>
      <c r="I19" s="9">
        <v>143</v>
      </c>
      <c r="J19" s="1">
        <f t="shared" si="0"/>
        <v>23874</v>
      </c>
      <c r="K19" s="29"/>
      <c r="L19" s="29"/>
    </row>
    <row r="20" spans="1:12">
      <c r="A20" s="6" t="s">
        <v>40</v>
      </c>
      <c r="B20" s="7">
        <v>5627</v>
      </c>
      <c r="C20" s="8">
        <v>6790</v>
      </c>
      <c r="D20" s="8">
        <v>4430</v>
      </c>
      <c r="E20" s="9">
        <v>3077</v>
      </c>
      <c r="F20" s="9">
        <v>3105</v>
      </c>
      <c r="G20" s="9">
        <v>2844</v>
      </c>
      <c r="H20" s="9">
        <v>907</v>
      </c>
      <c r="I20" s="9">
        <v>166</v>
      </c>
      <c r="J20" s="1">
        <f t="shared" si="0"/>
        <v>26946</v>
      </c>
      <c r="K20" s="29"/>
      <c r="L20" s="29"/>
    </row>
    <row r="21" spans="1:12">
      <c r="A21" s="6" t="s">
        <v>41</v>
      </c>
      <c r="B21" s="7">
        <v>3378</v>
      </c>
      <c r="C21" s="8">
        <v>4363</v>
      </c>
      <c r="D21" s="8">
        <v>2786</v>
      </c>
      <c r="E21" s="9">
        <v>2057</v>
      </c>
      <c r="F21" s="9">
        <v>2144</v>
      </c>
      <c r="G21" s="9">
        <v>1860</v>
      </c>
      <c r="H21" s="9">
        <v>570</v>
      </c>
      <c r="I21" s="9">
        <v>106</v>
      </c>
      <c r="J21" s="1">
        <f t="shared" si="0"/>
        <v>17264</v>
      </c>
      <c r="K21" s="29"/>
      <c r="L21" s="29"/>
    </row>
    <row r="22" spans="1:12">
      <c r="A22" s="6" t="s">
        <v>42</v>
      </c>
      <c r="B22" s="7">
        <v>4269</v>
      </c>
      <c r="C22" s="8">
        <v>4695</v>
      </c>
      <c r="D22" s="8">
        <v>2741</v>
      </c>
      <c r="E22" s="9">
        <v>2359</v>
      </c>
      <c r="F22" s="9">
        <v>2384</v>
      </c>
      <c r="G22" s="9">
        <v>2102</v>
      </c>
      <c r="H22" s="9">
        <v>771</v>
      </c>
      <c r="I22" s="9">
        <v>160</v>
      </c>
      <c r="J22" s="1">
        <f t="shared" si="0"/>
        <v>19481</v>
      </c>
      <c r="K22" s="29"/>
      <c r="L22" s="29"/>
    </row>
    <row r="23" spans="1:12">
      <c r="A23" s="6" t="s">
        <v>43</v>
      </c>
      <c r="B23" s="7">
        <v>8688</v>
      </c>
      <c r="C23" s="8">
        <v>9062</v>
      </c>
      <c r="D23" s="8">
        <v>6971</v>
      </c>
      <c r="E23" s="9">
        <v>5264</v>
      </c>
      <c r="F23" s="9">
        <v>5129</v>
      </c>
      <c r="G23" s="9">
        <v>5143</v>
      </c>
      <c r="H23" s="9">
        <v>1753</v>
      </c>
      <c r="I23" s="9">
        <v>317</v>
      </c>
      <c r="J23" s="1">
        <f t="shared" si="0"/>
        <v>42327</v>
      </c>
      <c r="K23" s="29"/>
      <c r="L23" s="29"/>
    </row>
    <row r="24" spans="1:12">
      <c r="A24" s="6" t="s">
        <v>44</v>
      </c>
      <c r="B24" s="7">
        <v>10375</v>
      </c>
      <c r="C24" s="8">
        <v>12152</v>
      </c>
      <c r="D24" s="8">
        <v>7680</v>
      </c>
      <c r="E24" s="9">
        <v>5930</v>
      </c>
      <c r="F24" s="9">
        <v>5697</v>
      </c>
      <c r="G24" s="9">
        <v>4932</v>
      </c>
      <c r="H24" s="9">
        <v>1579</v>
      </c>
      <c r="I24" s="9">
        <v>274</v>
      </c>
      <c r="J24" s="1">
        <f t="shared" si="0"/>
        <v>48619</v>
      </c>
      <c r="K24" s="29"/>
      <c r="L24" s="29"/>
    </row>
    <row r="25" spans="1:12">
      <c r="A25" s="6" t="s">
        <v>45</v>
      </c>
      <c r="B25" s="7">
        <v>22172</v>
      </c>
      <c r="C25" s="8">
        <v>19352</v>
      </c>
      <c r="D25" s="8">
        <v>14803</v>
      </c>
      <c r="E25" s="9">
        <v>11502</v>
      </c>
      <c r="F25" s="9">
        <v>10154</v>
      </c>
      <c r="G25" s="9">
        <v>9172</v>
      </c>
      <c r="H25" s="9">
        <v>3322</v>
      </c>
      <c r="I25" s="9">
        <v>602</v>
      </c>
      <c r="J25" s="1">
        <f t="shared" si="0"/>
        <v>91079</v>
      </c>
      <c r="K25" s="29"/>
      <c r="L25" s="29"/>
    </row>
    <row r="26" spans="1:12">
      <c r="A26" s="6" t="s">
        <v>46</v>
      </c>
      <c r="B26" s="7">
        <v>51072</v>
      </c>
      <c r="C26" s="8">
        <v>51328</v>
      </c>
      <c r="D26" s="8">
        <v>38837</v>
      </c>
      <c r="E26" s="9">
        <v>31244</v>
      </c>
      <c r="F26" s="9">
        <v>22406</v>
      </c>
      <c r="G26" s="9">
        <v>17341</v>
      </c>
      <c r="H26" s="9">
        <v>6098</v>
      </c>
      <c r="I26" s="9">
        <v>1082</v>
      </c>
      <c r="J26" s="1">
        <f t="shared" si="0"/>
        <v>219408</v>
      </c>
      <c r="K26" s="29"/>
      <c r="L26" s="29"/>
    </row>
    <row r="27" spans="1:12">
      <c r="A27" s="6" t="s">
        <v>47</v>
      </c>
      <c r="B27" s="7">
        <v>8984</v>
      </c>
      <c r="C27" s="10">
        <v>10185</v>
      </c>
      <c r="D27" s="8">
        <v>7166</v>
      </c>
      <c r="E27" s="9">
        <v>5612</v>
      </c>
      <c r="F27" s="10">
        <v>5253</v>
      </c>
      <c r="G27" s="9">
        <v>4314</v>
      </c>
      <c r="H27" s="9">
        <v>1334</v>
      </c>
      <c r="I27" s="9">
        <v>254</v>
      </c>
      <c r="J27" s="1">
        <f t="shared" si="0"/>
        <v>43102</v>
      </c>
      <c r="K27" s="29"/>
      <c r="L27" s="29"/>
    </row>
    <row r="28" spans="1:12">
      <c r="A28" s="6" t="s">
        <v>48</v>
      </c>
      <c r="B28" s="7">
        <v>10703</v>
      </c>
      <c r="C28" s="10">
        <v>9844</v>
      </c>
      <c r="D28" s="8">
        <v>6618</v>
      </c>
      <c r="E28" s="9">
        <v>5131</v>
      </c>
      <c r="F28" s="10">
        <v>4103</v>
      </c>
      <c r="G28" s="9">
        <v>3525</v>
      </c>
      <c r="H28" s="9">
        <v>1011</v>
      </c>
      <c r="I28" s="9">
        <v>160</v>
      </c>
      <c r="J28" s="1">
        <f t="shared" si="0"/>
        <v>41095</v>
      </c>
      <c r="K28" s="29"/>
      <c r="L28" s="29"/>
    </row>
    <row r="29" spans="1:12">
      <c r="A29" s="6" t="s">
        <v>49</v>
      </c>
      <c r="B29" s="7">
        <v>19913</v>
      </c>
      <c r="C29" s="10">
        <v>19948</v>
      </c>
      <c r="D29" s="8">
        <v>12035</v>
      </c>
      <c r="E29" s="9">
        <v>9249</v>
      </c>
      <c r="F29" s="10">
        <v>7127</v>
      </c>
      <c r="G29" s="9">
        <v>6535</v>
      </c>
      <c r="H29" s="9">
        <v>2388</v>
      </c>
      <c r="I29" s="9">
        <v>445</v>
      </c>
      <c r="J29" s="1">
        <f t="shared" si="0"/>
        <v>77640</v>
      </c>
      <c r="K29" s="29"/>
      <c r="L29" s="29"/>
    </row>
    <row r="30" spans="1:12">
      <c r="A30" s="6" t="s">
        <v>50</v>
      </c>
      <c r="B30" s="7">
        <v>68271</v>
      </c>
      <c r="C30" s="10">
        <v>61381</v>
      </c>
      <c r="D30" s="8">
        <v>44987</v>
      </c>
      <c r="E30" s="9">
        <v>35569</v>
      </c>
      <c r="F30" s="10">
        <v>24365</v>
      </c>
      <c r="G30" s="9">
        <v>20645</v>
      </c>
      <c r="H30" s="9">
        <v>8234</v>
      </c>
      <c r="I30" s="9">
        <v>1471</v>
      </c>
      <c r="J30" s="1">
        <f t="shared" si="0"/>
        <v>264923</v>
      </c>
      <c r="K30" s="29"/>
      <c r="L30" s="29"/>
    </row>
    <row r="31" spans="1:12">
      <c r="A31" s="6" t="s">
        <v>51</v>
      </c>
      <c r="B31" s="10">
        <v>38877</v>
      </c>
      <c r="C31" s="10">
        <v>36734</v>
      </c>
      <c r="D31" s="10">
        <v>25105</v>
      </c>
      <c r="E31" s="10">
        <v>20849</v>
      </c>
      <c r="F31" s="10">
        <v>16585</v>
      </c>
      <c r="G31" s="10">
        <v>13898</v>
      </c>
      <c r="H31" s="10">
        <v>4997</v>
      </c>
      <c r="I31" s="10">
        <v>980</v>
      </c>
      <c r="J31" s="1">
        <f t="shared" si="0"/>
        <v>158025</v>
      </c>
      <c r="K31" s="29"/>
      <c r="L31" s="29"/>
    </row>
    <row r="32" spans="1:12">
      <c r="A32" s="6" t="s">
        <v>52</v>
      </c>
      <c r="B32" s="7">
        <v>8575</v>
      </c>
      <c r="C32" s="10">
        <v>9162</v>
      </c>
      <c r="D32" s="10">
        <v>5959</v>
      </c>
      <c r="E32" s="9">
        <v>4847</v>
      </c>
      <c r="F32" s="10">
        <v>4361</v>
      </c>
      <c r="G32" s="9">
        <v>4138</v>
      </c>
      <c r="H32" s="9">
        <v>1565</v>
      </c>
      <c r="I32" s="9">
        <v>267</v>
      </c>
      <c r="J32" s="1">
        <f t="shared" si="0"/>
        <v>38874</v>
      </c>
      <c r="K32" s="29"/>
      <c r="L32" s="29"/>
    </row>
    <row r="33" spans="1:12">
      <c r="A33" s="6" t="s">
        <v>53</v>
      </c>
      <c r="B33" s="7">
        <v>3842</v>
      </c>
      <c r="C33" s="10">
        <v>4710</v>
      </c>
      <c r="D33" s="8">
        <v>3002</v>
      </c>
      <c r="E33" s="9">
        <v>2504</v>
      </c>
      <c r="F33" s="10">
        <v>2688</v>
      </c>
      <c r="G33" s="9">
        <v>2142</v>
      </c>
      <c r="H33" s="9">
        <v>660</v>
      </c>
      <c r="I33" s="9">
        <v>147</v>
      </c>
      <c r="J33" s="1">
        <f t="shared" si="0"/>
        <v>19695</v>
      </c>
      <c r="K33" s="29"/>
      <c r="L33" s="29"/>
    </row>
    <row r="34" spans="1:12">
      <c r="A34" s="6" t="s">
        <v>54</v>
      </c>
      <c r="B34" s="7">
        <v>2438</v>
      </c>
      <c r="C34" s="10">
        <v>2166</v>
      </c>
      <c r="D34" s="8">
        <v>1627</v>
      </c>
      <c r="E34" s="9">
        <v>1120</v>
      </c>
      <c r="F34" s="10">
        <v>1297</v>
      </c>
      <c r="G34" s="9">
        <v>1091</v>
      </c>
      <c r="H34" s="9">
        <v>357</v>
      </c>
      <c r="I34" s="9">
        <v>60</v>
      </c>
      <c r="J34" s="1">
        <f t="shared" si="0"/>
        <v>10156</v>
      </c>
      <c r="K34" s="29"/>
      <c r="L34" s="29"/>
    </row>
    <row r="35" spans="1:12">
      <c r="A35" s="6" t="s">
        <v>55</v>
      </c>
      <c r="B35" s="7">
        <v>1966</v>
      </c>
      <c r="C35" s="10">
        <v>2206</v>
      </c>
      <c r="D35" s="8">
        <v>1437</v>
      </c>
      <c r="E35" s="9">
        <v>1072</v>
      </c>
      <c r="F35" s="10">
        <v>1368</v>
      </c>
      <c r="G35" s="9">
        <v>1113</v>
      </c>
      <c r="H35" s="9">
        <v>342</v>
      </c>
      <c r="I35" s="9">
        <v>78</v>
      </c>
      <c r="J35" s="1">
        <f t="shared" si="0"/>
        <v>9582</v>
      </c>
      <c r="K35" s="29"/>
      <c r="L35" s="29"/>
    </row>
    <row r="36" spans="1:12">
      <c r="A36" s="6" t="s">
        <v>56</v>
      </c>
      <c r="B36" s="7">
        <v>8172</v>
      </c>
      <c r="C36" s="10">
        <v>9986</v>
      </c>
      <c r="D36" s="8">
        <v>6249</v>
      </c>
      <c r="E36" s="9">
        <v>4580</v>
      </c>
      <c r="F36" s="10">
        <v>4200</v>
      </c>
      <c r="G36" s="9">
        <v>3966</v>
      </c>
      <c r="H36" s="9">
        <v>1308</v>
      </c>
      <c r="I36" s="9">
        <v>312</v>
      </c>
      <c r="J36" s="1">
        <f t="shared" si="0"/>
        <v>38773</v>
      </c>
      <c r="K36" s="29"/>
      <c r="L36" s="29"/>
    </row>
    <row r="37" spans="1:12">
      <c r="A37" s="6" t="s">
        <v>57</v>
      </c>
      <c r="B37" s="7">
        <v>13704</v>
      </c>
      <c r="C37" s="10">
        <v>14245</v>
      </c>
      <c r="D37" s="8">
        <v>9938</v>
      </c>
      <c r="E37" s="9">
        <v>7686</v>
      </c>
      <c r="F37" s="10">
        <v>6890</v>
      </c>
      <c r="G37" s="9">
        <v>6364</v>
      </c>
      <c r="H37" s="9">
        <v>2171</v>
      </c>
      <c r="I37" s="9">
        <v>399</v>
      </c>
      <c r="J37" s="1">
        <f t="shared" si="0"/>
        <v>61397</v>
      </c>
      <c r="K37" s="29"/>
      <c r="L37" s="29"/>
    </row>
    <row r="38" spans="1:12">
      <c r="A38" s="6" t="s">
        <v>58</v>
      </c>
      <c r="B38" s="7">
        <v>4847</v>
      </c>
      <c r="C38" s="10">
        <v>5670</v>
      </c>
      <c r="D38" s="8">
        <v>3861</v>
      </c>
      <c r="E38" s="9">
        <v>3023</v>
      </c>
      <c r="F38" s="10">
        <v>3225</v>
      </c>
      <c r="G38" s="9">
        <v>3235</v>
      </c>
      <c r="H38" s="9">
        <v>1119</v>
      </c>
      <c r="I38" s="9">
        <v>235</v>
      </c>
      <c r="J38" s="1">
        <f t="shared" si="0"/>
        <v>25215</v>
      </c>
      <c r="K38" s="29"/>
      <c r="L38" s="29"/>
    </row>
    <row r="39" spans="1:12">
      <c r="A39" s="6" t="s">
        <v>59</v>
      </c>
      <c r="B39" s="7">
        <v>2366</v>
      </c>
      <c r="C39" s="10">
        <v>3424</v>
      </c>
      <c r="D39" s="8">
        <v>2121</v>
      </c>
      <c r="E39" s="9">
        <v>1548</v>
      </c>
      <c r="F39" s="10">
        <v>1709</v>
      </c>
      <c r="G39" s="9">
        <v>1412</v>
      </c>
      <c r="H39" s="9">
        <v>477</v>
      </c>
      <c r="I39" s="9">
        <v>96</v>
      </c>
      <c r="J39" s="1">
        <f t="shared" si="0"/>
        <v>13153</v>
      </c>
      <c r="K39" s="29"/>
      <c r="L39" s="29"/>
    </row>
    <row r="40" spans="1:12">
      <c r="A40" s="6" t="s">
        <v>60</v>
      </c>
      <c r="B40" s="7">
        <v>3381</v>
      </c>
      <c r="C40" s="10">
        <v>4314</v>
      </c>
      <c r="D40" s="8">
        <v>3195</v>
      </c>
      <c r="E40" s="9">
        <v>2445</v>
      </c>
      <c r="F40" s="10">
        <v>2354</v>
      </c>
      <c r="G40" s="9">
        <v>2041</v>
      </c>
      <c r="H40" s="9">
        <v>644</v>
      </c>
      <c r="I40" s="9">
        <v>137</v>
      </c>
      <c r="J40" s="1">
        <f t="shared" si="0"/>
        <v>18511</v>
      </c>
      <c r="K40" s="29"/>
      <c r="L40" s="29"/>
    </row>
    <row r="41" spans="1:12">
      <c r="A41" s="6" t="s">
        <v>61</v>
      </c>
      <c r="B41" s="7">
        <v>4240</v>
      </c>
      <c r="C41" s="10">
        <v>5377</v>
      </c>
      <c r="D41" s="8">
        <v>3509</v>
      </c>
      <c r="E41" s="9">
        <v>2584</v>
      </c>
      <c r="F41" s="10">
        <v>2637</v>
      </c>
      <c r="G41" s="9">
        <v>2585</v>
      </c>
      <c r="H41" s="9">
        <v>770</v>
      </c>
      <c r="I41" s="9">
        <v>169</v>
      </c>
      <c r="J41" s="1">
        <f t="shared" si="0"/>
        <v>21871</v>
      </c>
      <c r="K41" s="29"/>
      <c r="L41" s="29"/>
    </row>
    <row r="42" spans="1:12">
      <c r="A42" s="6" t="s">
        <v>62</v>
      </c>
      <c r="B42" s="7">
        <v>1896</v>
      </c>
      <c r="C42" s="10">
        <v>2250</v>
      </c>
      <c r="D42" s="8">
        <v>1657</v>
      </c>
      <c r="E42" s="9">
        <v>1239</v>
      </c>
      <c r="F42" s="10">
        <v>1365</v>
      </c>
      <c r="G42" s="9">
        <v>1191</v>
      </c>
      <c r="H42" s="9">
        <v>429</v>
      </c>
      <c r="I42" s="9">
        <v>75</v>
      </c>
      <c r="J42" s="1">
        <f t="shared" si="0"/>
        <v>10102</v>
      </c>
      <c r="K42" s="29"/>
      <c r="L42" s="29"/>
    </row>
    <row r="43" spans="1:12">
      <c r="A43" s="6" t="s">
        <v>63</v>
      </c>
      <c r="B43" s="10">
        <v>29916</v>
      </c>
      <c r="C43" s="10">
        <v>31823</v>
      </c>
      <c r="D43" s="8">
        <v>23516</v>
      </c>
      <c r="E43" s="9">
        <v>17206</v>
      </c>
      <c r="F43" s="10">
        <v>15371</v>
      </c>
      <c r="G43" s="9">
        <v>13081</v>
      </c>
      <c r="H43" s="9">
        <v>4422</v>
      </c>
      <c r="I43" s="9">
        <v>959</v>
      </c>
      <c r="J43" s="1">
        <f t="shared" si="0"/>
        <v>136294</v>
      </c>
      <c r="K43" s="29"/>
      <c r="L43" s="29"/>
    </row>
    <row r="44" spans="1:12">
      <c r="A44" s="6" t="s">
        <v>64</v>
      </c>
      <c r="B44" s="7">
        <v>3143</v>
      </c>
      <c r="C44" s="10">
        <v>4112</v>
      </c>
      <c r="D44" s="8">
        <v>2513</v>
      </c>
      <c r="E44" s="9">
        <v>1889</v>
      </c>
      <c r="F44" s="10">
        <v>2205</v>
      </c>
      <c r="G44" s="10">
        <v>1930</v>
      </c>
      <c r="H44" s="9">
        <v>568</v>
      </c>
      <c r="I44" s="9">
        <v>111</v>
      </c>
      <c r="J44" s="1">
        <f t="shared" si="0"/>
        <v>16471</v>
      </c>
      <c r="K44" s="29"/>
      <c r="L44" s="29"/>
    </row>
    <row r="45" spans="1:12">
      <c r="A45" s="6" t="s">
        <v>65</v>
      </c>
      <c r="B45" s="7">
        <v>5401</v>
      </c>
      <c r="C45" s="10">
        <v>5103</v>
      </c>
      <c r="D45" s="8">
        <v>3438</v>
      </c>
      <c r="E45" s="9">
        <v>2613</v>
      </c>
      <c r="F45" s="10">
        <v>3010</v>
      </c>
      <c r="G45" s="10">
        <v>2625</v>
      </c>
      <c r="H45" s="9">
        <v>927</v>
      </c>
      <c r="I45" s="9">
        <v>204</v>
      </c>
      <c r="J45" s="1">
        <f t="shared" si="0"/>
        <v>23321</v>
      </c>
      <c r="K45" s="29"/>
      <c r="L45" s="29"/>
    </row>
    <row r="46" spans="1:12">
      <c r="A46" s="6" t="s">
        <v>66</v>
      </c>
      <c r="B46" s="7">
        <v>6393</v>
      </c>
      <c r="C46" s="10">
        <v>7968</v>
      </c>
      <c r="D46" s="8">
        <v>5317</v>
      </c>
      <c r="E46" s="9">
        <v>3925</v>
      </c>
      <c r="F46" s="10">
        <v>4390</v>
      </c>
      <c r="G46" s="10">
        <v>3800</v>
      </c>
      <c r="H46" s="9">
        <v>1283</v>
      </c>
      <c r="I46" s="9">
        <v>256</v>
      </c>
      <c r="J46" s="1">
        <f t="shared" si="0"/>
        <v>33332</v>
      </c>
      <c r="K46" s="29"/>
      <c r="L46" s="29"/>
    </row>
    <row r="47" spans="1:12">
      <c r="A47" s="6" t="s">
        <v>67</v>
      </c>
      <c r="B47" s="7">
        <v>4630</v>
      </c>
      <c r="C47" s="10">
        <v>4393</v>
      </c>
      <c r="D47" s="8">
        <v>3358</v>
      </c>
      <c r="E47" s="9">
        <v>2441</v>
      </c>
      <c r="F47" s="10">
        <v>2589</v>
      </c>
      <c r="G47" s="10">
        <v>2316</v>
      </c>
      <c r="H47" s="9">
        <v>810</v>
      </c>
      <c r="I47" s="9">
        <v>151</v>
      </c>
      <c r="J47" s="1">
        <f t="shared" si="0"/>
        <v>20688</v>
      </c>
      <c r="K47" s="29"/>
      <c r="L47" s="29"/>
    </row>
    <row r="48" spans="1:12">
      <c r="A48" s="6" t="s">
        <v>68</v>
      </c>
      <c r="B48" s="7">
        <v>3727</v>
      </c>
      <c r="C48" s="10">
        <v>3496</v>
      </c>
      <c r="D48" s="8">
        <v>2552</v>
      </c>
      <c r="E48" s="9">
        <v>1796</v>
      </c>
      <c r="F48" s="10">
        <v>2260</v>
      </c>
      <c r="G48" s="10">
        <v>2096</v>
      </c>
      <c r="H48" s="9">
        <v>742</v>
      </c>
      <c r="I48" s="9">
        <v>169</v>
      </c>
      <c r="J48" s="1">
        <f t="shared" si="0"/>
        <v>16838</v>
      </c>
      <c r="K48" s="29"/>
      <c r="L48" s="29"/>
    </row>
    <row r="49" spans="1:12">
      <c r="A49" s="6" t="s">
        <v>69</v>
      </c>
      <c r="B49" s="7">
        <v>4551</v>
      </c>
      <c r="C49" s="10">
        <v>5400</v>
      </c>
      <c r="D49" s="8">
        <v>3866</v>
      </c>
      <c r="E49" s="9">
        <v>2834</v>
      </c>
      <c r="F49" s="10">
        <v>3461</v>
      </c>
      <c r="G49" s="10">
        <v>3006</v>
      </c>
      <c r="H49" s="9">
        <v>1061</v>
      </c>
      <c r="I49" s="9">
        <v>262</v>
      </c>
      <c r="J49" s="1">
        <f t="shared" si="0"/>
        <v>24441</v>
      </c>
      <c r="K49" s="29"/>
      <c r="L49" s="29"/>
    </row>
    <row r="50" spans="1:12">
      <c r="A50" s="6" t="s">
        <v>70</v>
      </c>
      <c r="B50" s="7">
        <v>7080</v>
      </c>
      <c r="C50" s="10">
        <v>6165</v>
      </c>
      <c r="D50" s="12">
        <v>4979</v>
      </c>
      <c r="E50" s="13">
        <v>3890</v>
      </c>
      <c r="F50" s="10">
        <v>3857</v>
      </c>
      <c r="G50" s="10">
        <v>3035</v>
      </c>
      <c r="H50" s="13">
        <v>1164</v>
      </c>
      <c r="I50" s="13">
        <v>279</v>
      </c>
      <c r="J50" s="1">
        <f t="shared" si="0"/>
        <v>30449</v>
      </c>
      <c r="K50" s="29"/>
      <c r="L50" s="29"/>
    </row>
    <row r="51" spans="1:12">
      <c r="A51" s="6" t="s">
        <v>7</v>
      </c>
      <c r="B51" s="10">
        <f>SUM(B4:B50)</f>
        <v>765543</v>
      </c>
      <c r="C51" s="10">
        <f t="shared" ref="C51:I51" si="1">SUM(C4:C50)</f>
        <v>753715</v>
      </c>
      <c r="D51" s="10">
        <f t="shared" si="1"/>
        <v>572621</v>
      </c>
      <c r="E51" s="10">
        <f t="shared" si="1"/>
        <v>430080</v>
      </c>
      <c r="F51" s="10">
        <f t="shared" si="1"/>
        <v>349017</v>
      </c>
      <c r="G51" s="10">
        <f t="shared" si="1"/>
        <v>299510</v>
      </c>
      <c r="H51" s="10">
        <f t="shared" si="1"/>
        <v>105896</v>
      </c>
      <c r="I51" s="10">
        <f t="shared" si="1"/>
        <v>20423</v>
      </c>
      <c r="J51" s="1">
        <f t="shared" si="0"/>
        <v>3296805</v>
      </c>
      <c r="K51" s="29"/>
      <c r="L51" s="29"/>
    </row>
    <row r="52" spans="1:12">
      <c r="A52" s="6" t="s">
        <v>71</v>
      </c>
      <c r="B52" s="14">
        <v>0</v>
      </c>
      <c r="C52" s="14">
        <v>0</v>
      </c>
      <c r="D52" s="146">
        <v>0</v>
      </c>
      <c r="E52" s="146">
        <v>0</v>
      </c>
      <c r="F52" s="146">
        <v>0</v>
      </c>
      <c r="G52" s="146">
        <v>0</v>
      </c>
      <c r="H52" s="146">
        <v>0</v>
      </c>
      <c r="I52" s="146">
        <v>0</v>
      </c>
      <c r="J52" s="147">
        <f t="shared" si="0"/>
        <v>0</v>
      </c>
      <c r="K52" s="29"/>
      <c r="L52" s="29"/>
    </row>
    <row r="53" spans="1:12" ht="14.25" customHeight="1">
      <c r="A53" s="5" t="s">
        <v>84</v>
      </c>
      <c r="B53" s="30">
        <f>B51+B52</f>
        <v>765543</v>
      </c>
      <c r="C53" s="30">
        <f t="shared" ref="C53:I53" si="2">C51+C52</f>
        <v>753715</v>
      </c>
      <c r="D53" s="147">
        <f t="shared" si="2"/>
        <v>572621</v>
      </c>
      <c r="E53" s="147">
        <f t="shared" si="2"/>
        <v>430080</v>
      </c>
      <c r="F53" s="147">
        <f t="shared" si="2"/>
        <v>349017</v>
      </c>
      <c r="G53" s="147">
        <f t="shared" si="2"/>
        <v>299510</v>
      </c>
      <c r="H53" s="147">
        <f t="shared" si="2"/>
        <v>105896</v>
      </c>
      <c r="I53" s="147">
        <f t="shared" si="2"/>
        <v>20423</v>
      </c>
      <c r="J53" s="147">
        <f t="shared" si="0"/>
        <v>3296805</v>
      </c>
      <c r="K53" s="29"/>
      <c r="L53" s="29"/>
    </row>
  </sheetData>
  <mergeCells count="11">
    <mergeCell ref="A1:J1"/>
    <mergeCell ref="H2:H3"/>
    <mergeCell ref="I2:I3"/>
    <mergeCell ref="A2:A3"/>
    <mergeCell ref="J2:J3"/>
    <mergeCell ref="B2:B3"/>
    <mergeCell ref="C2:C3"/>
    <mergeCell ref="D2:D3"/>
    <mergeCell ref="E2:E3"/>
    <mergeCell ref="F2:F3"/>
    <mergeCell ref="G2:G3"/>
  </mergeCells>
  <phoneticPr fontId="5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topLeftCell="A40" workbookViewId="0">
      <selection activeCell="K55" sqref="K55"/>
    </sheetView>
  </sheetViews>
  <sheetFormatPr defaultColWidth="6" defaultRowHeight="12" customHeight="1"/>
  <cols>
    <col min="1" max="1" width="2.375" style="31" customWidth="1"/>
    <col min="2" max="2" width="6.125" style="31" customWidth="1"/>
    <col min="3" max="3" width="10.625" style="31" customWidth="1"/>
    <col min="4" max="5" width="14.625" style="31" customWidth="1"/>
    <col min="6" max="6" width="10.875" style="31" customWidth="1"/>
    <col min="7" max="7" width="5.625" style="31" customWidth="1"/>
    <col min="8" max="8" width="3.75" style="31" customWidth="1"/>
    <col min="9" max="9" width="8" style="31" bestFit="1" customWidth="1"/>
    <col min="10" max="16384" width="6" style="31"/>
  </cols>
  <sheetData>
    <row r="1" spans="1:8" ht="18" customHeight="1">
      <c r="A1" s="177" t="s">
        <v>166</v>
      </c>
      <c r="B1" s="177"/>
      <c r="C1" s="177"/>
      <c r="D1" s="177"/>
      <c r="E1" s="177"/>
      <c r="F1" s="177"/>
      <c r="G1" s="177"/>
    </row>
    <row r="2" spans="1:8" ht="14.45" customHeight="1">
      <c r="A2" s="176" t="s">
        <v>74</v>
      </c>
      <c r="B2" s="176"/>
      <c r="C2" s="176"/>
      <c r="D2" s="15" t="s">
        <v>86</v>
      </c>
      <c r="E2" s="15" t="s">
        <v>87</v>
      </c>
      <c r="F2" s="176" t="s">
        <v>4</v>
      </c>
      <c r="G2" s="176"/>
    </row>
    <row r="3" spans="1:8" ht="14.45" customHeight="1">
      <c r="A3" s="178" t="s">
        <v>88</v>
      </c>
      <c r="B3" s="178"/>
      <c r="C3" s="178"/>
      <c r="D3" s="16">
        <v>212526</v>
      </c>
      <c r="E3" s="16">
        <v>589546</v>
      </c>
      <c r="F3" s="179">
        <v>802072</v>
      </c>
      <c r="G3" s="179"/>
      <c r="H3" s="32"/>
    </row>
    <row r="4" spans="1:8" ht="14.45" customHeight="1">
      <c r="A4" s="178" t="s">
        <v>89</v>
      </c>
      <c r="B4" s="178"/>
      <c r="C4" s="178"/>
      <c r="D4" s="16">
        <v>41109</v>
      </c>
      <c r="E4" s="16">
        <v>81827</v>
      </c>
      <c r="F4" s="179">
        <v>122936</v>
      </c>
      <c r="G4" s="179"/>
      <c r="H4" s="32"/>
    </row>
    <row r="5" spans="1:8" ht="14.45" customHeight="1">
      <c r="A5" s="178" t="s">
        <v>90</v>
      </c>
      <c r="B5" s="178"/>
      <c r="C5" s="178"/>
      <c r="D5" s="16">
        <v>47054</v>
      </c>
      <c r="E5" s="16">
        <v>86032</v>
      </c>
      <c r="F5" s="179">
        <v>133086</v>
      </c>
      <c r="G5" s="179"/>
      <c r="H5" s="32"/>
    </row>
    <row r="6" spans="1:8" ht="14.45" customHeight="1">
      <c r="A6" s="178" t="s">
        <v>91</v>
      </c>
      <c r="B6" s="178"/>
      <c r="C6" s="178"/>
      <c r="D6" s="16">
        <v>101212</v>
      </c>
      <c r="E6" s="16">
        <v>266013</v>
      </c>
      <c r="F6" s="179">
        <v>367225</v>
      </c>
      <c r="G6" s="179"/>
      <c r="H6" s="32"/>
    </row>
    <row r="7" spans="1:8" ht="14.45" customHeight="1">
      <c r="A7" s="178" t="s">
        <v>92</v>
      </c>
      <c r="B7" s="178"/>
      <c r="C7" s="178"/>
      <c r="D7" s="16">
        <v>38439</v>
      </c>
      <c r="E7" s="16">
        <v>71300</v>
      </c>
      <c r="F7" s="179">
        <v>109739</v>
      </c>
      <c r="G7" s="179"/>
      <c r="H7" s="32"/>
    </row>
    <row r="8" spans="1:8" ht="14.45" customHeight="1">
      <c r="A8" s="178" t="s">
        <v>93</v>
      </c>
      <c r="B8" s="178"/>
      <c r="C8" s="178"/>
      <c r="D8" s="16">
        <v>50092</v>
      </c>
      <c r="E8" s="16">
        <v>96271</v>
      </c>
      <c r="F8" s="179">
        <v>146363</v>
      </c>
      <c r="G8" s="179"/>
      <c r="H8" s="32"/>
    </row>
    <row r="9" spans="1:8" ht="14.45" customHeight="1">
      <c r="A9" s="178" t="s">
        <v>94</v>
      </c>
      <c r="B9" s="178"/>
      <c r="C9" s="178"/>
      <c r="D9" s="16">
        <v>88241</v>
      </c>
      <c r="E9" s="16">
        <v>187532</v>
      </c>
      <c r="F9" s="179">
        <v>275773</v>
      </c>
      <c r="G9" s="179"/>
      <c r="H9" s="32"/>
    </row>
    <row r="10" spans="1:8" ht="14.45" customHeight="1">
      <c r="A10" s="178" t="s">
        <v>95</v>
      </c>
      <c r="B10" s="178"/>
      <c r="C10" s="178"/>
      <c r="D10" s="16">
        <v>157001</v>
      </c>
      <c r="E10" s="16">
        <v>467215</v>
      </c>
      <c r="F10" s="179">
        <v>624216</v>
      </c>
      <c r="G10" s="179"/>
      <c r="H10" s="32"/>
    </row>
    <row r="11" spans="1:8" ht="14.45" customHeight="1">
      <c r="A11" s="178" t="s">
        <v>96</v>
      </c>
      <c r="B11" s="178"/>
      <c r="C11" s="178"/>
      <c r="D11" s="16">
        <v>102793</v>
      </c>
      <c r="E11" s="16">
        <v>279904</v>
      </c>
      <c r="F11" s="179">
        <v>382697</v>
      </c>
      <c r="G11" s="179"/>
      <c r="H11" s="32"/>
    </row>
    <row r="12" spans="1:8" ht="14.45" customHeight="1">
      <c r="A12" s="178" t="s">
        <v>97</v>
      </c>
      <c r="B12" s="178"/>
      <c r="C12" s="178"/>
      <c r="D12" s="16">
        <v>95646</v>
      </c>
      <c r="E12" s="16">
        <v>279208</v>
      </c>
      <c r="F12" s="179">
        <v>374854</v>
      </c>
      <c r="G12" s="179"/>
      <c r="H12" s="32"/>
    </row>
    <row r="13" spans="1:8" ht="14.45" customHeight="1">
      <c r="A13" s="178" t="s">
        <v>98</v>
      </c>
      <c r="B13" s="178"/>
      <c r="C13" s="178"/>
      <c r="D13" s="16">
        <v>239841</v>
      </c>
      <c r="E13" s="16">
        <v>755349</v>
      </c>
      <c r="F13" s="179">
        <v>995190</v>
      </c>
      <c r="G13" s="179"/>
      <c r="H13" s="32"/>
    </row>
    <row r="14" spans="1:8" ht="14.45" customHeight="1">
      <c r="A14" s="178" t="s">
        <v>99</v>
      </c>
      <c r="B14" s="178"/>
      <c r="C14" s="178"/>
      <c r="D14" s="16">
        <v>133687</v>
      </c>
      <c r="E14" s="16">
        <v>410695</v>
      </c>
      <c r="F14" s="179">
        <v>544382</v>
      </c>
      <c r="G14" s="179"/>
      <c r="H14" s="32"/>
    </row>
    <row r="15" spans="1:8" ht="14.45" customHeight="1">
      <c r="A15" s="178" t="s">
        <v>100</v>
      </c>
      <c r="B15" s="178"/>
      <c r="C15" s="178"/>
      <c r="D15" s="16">
        <v>85223</v>
      </c>
      <c r="E15" s="16">
        <v>238279</v>
      </c>
      <c r="F15" s="179">
        <v>323502</v>
      </c>
      <c r="G15" s="179"/>
      <c r="H15" s="32"/>
    </row>
    <row r="16" spans="1:8" ht="14.45" customHeight="1">
      <c r="A16" s="178" t="s">
        <v>101</v>
      </c>
      <c r="B16" s="178"/>
      <c r="C16" s="178"/>
      <c r="D16" s="16">
        <v>260885</v>
      </c>
      <c r="E16" s="16">
        <v>932480</v>
      </c>
      <c r="F16" s="179">
        <v>1193365</v>
      </c>
      <c r="G16" s="179"/>
      <c r="H16" s="32"/>
    </row>
    <row r="17" spans="1:8" ht="14.45" customHeight="1">
      <c r="A17" s="178" t="s">
        <v>102</v>
      </c>
      <c r="B17" s="178"/>
      <c r="C17" s="178"/>
      <c r="D17" s="16">
        <v>126693</v>
      </c>
      <c r="E17" s="16">
        <v>471174</v>
      </c>
      <c r="F17" s="179">
        <v>597867</v>
      </c>
      <c r="G17" s="179"/>
      <c r="H17" s="32"/>
    </row>
    <row r="18" spans="1:8" ht="14.45" customHeight="1">
      <c r="A18" s="178" t="s">
        <v>103</v>
      </c>
      <c r="B18" s="178"/>
      <c r="C18" s="178"/>
      <c r="D18" s="16">
        <v>282426</v>
      </c>
      <c r="E18" s="16">
        <v>1159688</v>
      </c>
      <c r="F18" s="179">
        <v>1442114</v>
      </c>
      <c r="G18" s="179"/>
      <c r="H18" s="32"/>
    </row>
    <row r="19" spans="1:8" ht="14.45" customHeight="1">
      <c r="A19" s="178" t="s">
        <v>104</v>
      </c>
      <c r="B19" s="178"/>
      <c r="C19" s="178"/>
      <c r="D19" s="16">
        <v>362079</v>
      </c>
      <c r="E19" s="16">
        <v>1515256</v>
      </c>
      <c r="F19" s="179">
        <v>1877335</v>
      </c>
      <c r="G19" s="179"/>
      <c r="H19" s="32"/>
    </row>
    <row r="20" spans="1:8" ht="14.45" customHeight="1">
      <c r="A20" s="178" t="s">
        <v>105</v>
      </c>
      <c r="B20" s="178"/>
      <c r="C20" s="178"/>
      <c r="D20" s="16">
        <v>214765</v>
      </c>
      <c r="E20" s="16">
        <v>645343</v>
      </c>
      <c r="F20" s="179">
        <v>860108</v>
      </c>
      <c r="G20" s="179"/>
      <c r="H20" s="32"/>
    </row>
    <row r="21" spans="1:8" ht="14.45" customHeight="1">
      <c r="A21" s="178" t="s">
        <v>106</v>
      </c>
      <c r="B21" s="178"/>
      <c r="C21" s="178"/>
      <c r="D21" s="16">
        <v>158984</v>
      </c>
      <c r="E21" s="16">
        <v>488991</v>
      </c>
      <c r="F21" s="179">
        <v>647975</v>
      </c>
      <c r="G21" s="179"/>
      <c r="H21" s="32"/>
    </row>
    <row r="22" spans="1:8" ht="14.45" customHeight="1">
      <c r="A22" s="178" t="s">
        <v>107</v>
      </c>
      <c r="B22" s="178"/>
      <c r="C22" s="178"/>
      <c r="D22" s="16">
        <v>318159</v>
      </c>
      <c r="E22" s="16">
        <v>1185570</v>
      </c>
      <c r="F22" s="179">
        <v>1503729</v>
      </c>
      <c r="G22" s="179"/>
      <c r="H22" s="32"/>
    </row>
    <row r="23" spans="1:8" ht="14.45" customHeight="1">
      <c r="A23" s="178" t="s">
        <v>108</v>
      </c>
      <c r="B23" s="178"/>
      <c r="C23" s="178"/>
      <c r="D23" s="16">
        <v>176676</v>
      </c>
      <c r="E23" s="16">
        <v>612097</v>
      </c>
      <c r="F23" s="179">
        <v>788773</v>
      </c>
      <c r="G23" s="179"/>
      <c r="H23" s="32"/>
    </row>
    <row r="24" spans="1:8" ht="14.45" customHeight="1">
      <c r="A24" s="178" t="s">
        <v>109</v>
      </c>
      <c r="B24" s="178"/>
      <c r="C24" s="178"/>
      <c r="D24" s="16">
        <v>139547</v>
      </c>
      <c r="E24" s="16">
        <v>544876</v>
      </c>
      <c r="F24" s="179">
        <v>684423</v>
      </c>
      <c r="G24" s="179"/>
      <c r="H24" s="32"/>
    </row>
    <row r="25" spans="1:8" ht="14.45" customHeight="1">
      <c r="A25" s="178" t="s">
        <v>110</v>
      </c>
      <c r="B25" s="178"/>
      <c r="C25" s="178"/>
      <c r="D25" s="16">
        <v>113443</v>
      </c>
      <c r="E25" s="16">
        <v>244646</v>
      </c>
      <c r="F25" s="179">
        <v>358089</v>
      </c>
      <c r="G25" s="179"/>
      <c r="H25" s="32"/>
    </row>
    <row r="26" spans="1:8" ht="14.45" customHeight="1">
      <c r="A26" s="178" t="s">
        <v>111</v>
      </c>
      <c r="B26" s="178"/>
      <c r="C26" s="178"/>
      <c r="D26" s="16">
        <v>53637</v>
      </c>
      <c r="E26" s="16">
        <v>149442</v>
      </c>
      <c r="F26" s="179">
        <v>203079</v>
      </c>
      <c r="G26" s="179"/>
      <c r="H26" s="32"/>
    </row>
    <row r="27" spans="1:8" ht="14.45" customHeight="1">
      <c r="A27" s="178" t="s">
        <v>112</v>
      </c>
      <c r="B27" s="178"/>
      <c r="C27" s="178"/>
      <c r="D27" s="16">
        <v>59691</v>
      </c>
      <c r="E27" s="16">
        <v>169795</v>
      </c>
      <c r="F27" s="179">
        <v>229486</v>
      </c>
      <c r="G27" s="179"/>
      <c r="H27" s="32"/>
    </row>
    <row r="28" spans="1:8" ht="14.45" customHeight="1">
      <c r="A28" s="178" t="s">
        <v>113</v>
      </c>
      <c r="B28" s="178"/>
      <c r="C28" s="178"/>
      <c r="D28" s="16">
        <v>41321</v>
      </c>
      <c r="E28" s="16">
        <v>110893</v>
      </c>
      <c r="F28" s="179">
        <v>152214</v>
      </c>
      <c r="G28" s="179"/>
      <c r="H28" s="32"/>
    </row>
    <row r="29" spans="1:8" ht="14.45" customHeight="1">
      <c r="A29" s="178" t="s">
        <v>114</v>
      </c>
      <c r="B29" s="178"/>
      <c r="C29" s="178"/>
      <c r="D29" s="16">
        <v>46286</v>
      </c>
      <c r="E29" s="16">
        <v>136428</v>
      </c>
      <c r="F29" s="179">
        <v>182714</v>
      </c>
      <c r="G29" s="179"/>
      <c r="H29" s="32"/>
    </row>
    <row r="30" spans="1:8" ht="14.45" customHeight="1">
      <c r="A30" s="178" t="s">
        <v>115</v>
      </c>
      <c r="B30" s="178"/>
      <c r="C30" s="178"/>
      <c r="D30" s="16">
        <v>98072</v>
      </c>
      <c r="E30" s="16">
        <v>302057</v>
      </c>
      <c r="F30" s="179">
        <v>400129</v>
      </c>
      <c r="G30" s="179"/>
      <c r="H30" s="32"/>
    </row>
    <row r="31" spans="1:8" ht="14.45" customHeight="1">
      <c r="A31" s="178" t="s">
        <v>116</v>
      </c>
      <c r="B31" s="178"/>
      <c r="C31" s="178"/>
      <c r="D31" s="16">
        <v>106204</v>
      </c>
      <c r="E31" s="16">
        <v>370222</v>
      </c>
      <c r="F31" s="179">
        <v>476426</v>
      </c>
      <c r="G31" s="179"/>
      <c r="H31" s="32"/>
    </row>
    <row r="32" spans="1:8" ht="14.45" customHeight="1">
      <c r="A32" s="178" t="s">
        <v>117</v>
      </c>
      <c r="B32" s="178"/>
      <c r="C32" s="178"/>
      <c r="D32" s="16">
        <v>234194</v>
      </c>
      <c r="E32" s="16">
        <v>618581</v>
      </c>
      <c r="F32" s="179">
        <v>852775</v>
      </c>
      <c r="G32" s="179"/>
      <c r="H32" s="32"/>
    </row>
    <row r="33" spans="1:8" ht="14.45" customHeight="1">
      <c r="A33" s="178" t="s">
        <v>118</v>
      </c>
      <c r="B33" s="178"/>
      <c r="C33" s="178"/>
      <c r="D33" s="16">
        <v>368851</v>
      </c>
      <c r="E33" s="16">
        <v>1346846</v>
      </c>
      <c r="F33" s="179">
        <v>1715697</v>
      </c>
      <c r="G33" s="179"/>
      <c r="H33" s="32"/>
    </row>
    <row r="34" spans="1:8" ht="14.45" customHeight="1">
      <c r="A34" s="178" t="s">
        <v>119</v>
      </c>
      <c r="B34" s="178"/>
      <c r="C34" s="178"/>
      <c r="D34" s="16">
        <v>80352</v>
      </c>
      <c r="E34" s="16">
        <v>269743</v>
      </c>
      <c r="F34" s="179">
        <v>350095</v>
      </c>
      <c r="G34" s="179"/>
      <c r="H34" s="32"/>
    </row>
    <row r="35" spans="1:8" ht="14.45" customHeight="1">
      <c r="A35" s="178" t="s">
        <v>120</v>
      </c>
      <c r="B35" s="178"/>
      <c r="C35" s="178"/>
      <c r="D35" s="16">
        <v>105446</v>
      </c>
      <c r="E35" s="16">
        <v>303450</v>
      </c>
      <c r="F35" s="179">
        <v>408896</v>
      </c>
      <c r="G35" s="179"/>
      <c r="H35" s="32"/>
    </row>
    <row r="36" spans="1:8" ht="14.45" customHeight="1">
      <c r="A36" s="178" t="s">
        <v>121</v>
      </c>
      <c r="B36" s="178"/>
      <c r="C36" s="178"/>
      <c r="D36" s="16">
        <v>92356</v>
      </c>
      <c r="E36" s="16">
        <v>265903</v>
      </c>
      <c r="F36" s="179">
        <v>358259</v>
      </c>
      <c r="G36" s="179"/>
      <c r="H36" s="32"/>
    </row>
    <row r="37" spans="1:8" ht="14.45" customHeight="1">
      <c r="A37" s="178" t="s">
        <v>122</v>
      </c>
      <c r="B37" s="178"/>
      <c r="C37" s="178"/>
      <c r="D37" s="16">
        <v>173001</v>
      </c>
      <c r="E37" s="16">
        <v>524342</v>
      </c>
      <c r="F37" s="179">
        <v>697343</v>
      </c>
      <c r="G37" s="179"/>
      <c r="H37" s="32"/>
    </row>
    <row r="38" spans="1:8" ht="14.45" customHeight="1">
      <c r="A38" s="178" t="s">
        <v>123</v>
      </c>
      <c r="B38" s="178"/>
      <c r="C38" s="178"/>
      <c r="D38" s="16">
        <v>319576</v>
      </c>
      <c r="E38" s="16">
        <v>1084374</v>
      </c>
      <c r="F38" s="179">
        <v>1403950</v>
      </c>
      <c r="G38" s="179"/>
      <c r="H38" s="32"/>
    </row>
    <row r="39" spans="1:8" ht="14.45" customHeight="1">
      <c r="A39" s="178" t="s">
        <v>124</v>
      </c>
      <c r="B39" s="178"/>
      <c r="C39" s="178"/>
      <c r="D39" s="16">
        <v>175263</v>
      </c>
      <c r="E39" s="16">
        <v>586531</v>
      </c>
      <c r="F39" s="179">
        <v>761794</v>
      </c>
      <c r="G39" s="179"/>
      <c r="H39" s="32"/>
    </row>
    <row r="40" spans="1:8" ht="14.45" customHeight="1">
      <c r="A40" s="178" t="s">
        <v>125</v>
      </c>
      <c r="B40" s="178"/>
      <c r="C40" s="178"/>
      <c r="D40" s="16">
        <v>55033</v>
      </c>
      <c r="E40" s="16">
        <v>150969</v>
      </c>
      <c r="F40" s="179">
        <v>206002</v>
      </c>
      <c r="G40" s="179"/>
      <c r="H40" s="32"/>
    </row>
    <row r="41" spans="1:8" ht="14.45" customHeight="1">
      <c r="A41" s="178" t="s">
        <v>126</v>
      </c>
      <c r="B41" s="178"/>
      <c r="C41" s="178"/>
      <c r="D41" s="16">
        <v>255597</v>
      </c>
      <c r="E41" s="16">
        <v>840842</v>
      </c>
      <c r="F41" s="179">
        <v>1096439</v>
      </c>
      <c r="G41" s="179"/>
      <c r="H41" s="32"/>
    </row>
    <row r="42" spans="1:8" ht="14.45" customHeight="1">
      <c r="A42" s="178" t="s">
        <v>127</v>
      </c>
      <c r="B42" s="178"/>
      <c r="C42" s="178"/>
      <c r="D42" s="16">
        <v>92926</v>
      </c>
      <c r="E42" s="16">
        <v>301840</v>
      </c>
      <c r="F42" s="179">
        <v>394766</v>
      </c>
      <c r="G42" s="179"/>
      <c r="H42" s="32"/>
    </row>
    <row r="43" spans="1:8" ht="14.45" customHeight="1">
      <c r="A43" s="178" t="s">
        <v>128</v>
      </c>
      <c r="B43" s="178"/>
      <c r="C43" s="178"/>
      <c r="D43" s="16">
        <v>93106</v>
      </c>
      <c r="E43" s="16">
        <v>282534</v>
      </c>
      <c r="F43" s="179">
        <v>375640</v>
      </c>
      <c r="G43" s="179"/>
      <c r="H43" s="32"/>
    </row>
    <row r="44" spans="1:8" ht="14.45" customHeight="1">
      <c r="A44" s="178" t="s">
        <v>129</v>
      </c>
      <c r="B44" s="178"/>
      <c r="C44" s="178"/>
      <c r="D44" s="16">
        <v>47540</v>
      </c>
      <c r="E44" s="16">
        <v>137422</v>
      </c>
      <c r="F44" s="179">
        <v>184962</v>
      </c>
      <c r="G44" s="179"/>
      <c r="H44" s="32"/>
    </row>
    <row r="45" spans="1:8" ht="14.45" customHeight="1">
      <c r="A45" s="178" t="s">
        <v>130</v>
      </c>
      <c r="B45" s="178"/>
      <c r="C45" s="178"/>
      <c r="D45" s="16">
        <v>29687</v>
      </c>
      <c r="E45" s="16">
        <v>58276</v>
      </c>
      <c r="F45" s="179">
        <v>87963</v>
      </c>
      <c r="G45" s="179"/>
      <c r="H45" s="32"/>
    </row>
    <row r="46" spans="1:8" ht="14.45" customHeight="1">
      <c r="A46" s="178" t="s">
        <v>131</v>
      </c>
      <c r="B46" s="178"/>
      <c r="C46" s="178"/>
      <c r="D46" s="16">
        <v>29672</v>
      </c>
      <c r="E46" s="16">
        <v>55525</v>
      </c>
      <c r="F46" s="179">
        <v>85197</v>
      </c>
      <c r="G46" s="179"/>
      <c r="H46" s="32"/>
    </row>
    <row r="47" spans="1:8" ht="14.45" customHeight="1">
      <c r="A47" s="178" t="s">
        <v>132</v>
      </c>
      <c r="B47" s="178"/>
      <c r="C47" s="178"/>
      <c r="D47" s="16">
        <v>92145</v>
      </c>
      <c r="E47" s="16">
        <v>255281</v>
      </c>
      <c r="F47" s="179">
        <v>347426</v>
      </c>
      <c r="G47" s="179"/>
      <c r="H47" s="32"/>
    </row>
    <row r="48" spans="1:8" ht="14.45" customHeight="1">
      <c r="A48" s="178" t="s">
        <v>133</v>
      </c>
      <c r="B48" s="178"/>
      <c r="C48" s="178"/>
      <c r="D48" s="16">
        <v>141038</v>
      </c>
      <c r="E48" s="16">
        <v>429332</v>
      </c>
      <c r="F48" s="179">
        <v>570370</v>
      </c>
      <c r="G48" s="179"/>
      <c r="H48" s="32"/>
    </row>
    <row r="49" spans="1:9" ht="14.45" customHeight="1">
      <c r="A49" s="178" t="s">
        <v>134</v>
      </c>
      <c r="B49" s="178"/>
      <c r="C49" s="178"/>
      <c r="D49" s="16">
        <v>61123</v>
      </c>
      <c r="E49" s="16">
        <v>177412</v>
      </c>
      <c r="F49" s="179">
        <v>238535</v>
      </c>
      <c r="G49" s="179"/>
      <c r="H49" s="32"/>
    </row>
    <row r="50" spans="1:9" ht="14.45" customHeight="1">
      <c r="A50" s="178" t="s">
        <v>135</v>
      </c>
      <c r="B50" s="178"/>
      <c r="C50" s="178"/>
      <c r="D50" s="16">
        <v>32641</v>
      </c>
      <c r="E50" s="16">
        <v>89676</v>
      </c>
      <c r="F50" s="179">
        <v>122317</v>
      </c>
      <c r="G50" s="179"/>
      <c r="H50" s="32"/>
    </row>
    <row r="51" spans="1:9" ht="14.45" customHeight="1">
      <c r="A51" s="178" t="s">
        <v>136</v>
      </c>
      <c r="B51" s="178"/>
      <c r="C51" s="178"/>
      <c r="D51" s="16">
        <v>41052</v>
      </c>
      <c r="E51" s="16">
        <v>131929</v>
      </c>
      <c r="F51" s="179">
        <v>172981</v>
      </c>
      <c r="G51" s="179"/>
      <c r="H51" s="32"/>
    </row>
    <row r="52" spans="1:9" ht="14.45" customHeight="1">
      <c r="A52" s="178" t="s">
        <v>137</v>
      </c>
      <c r="B52" s="178"/>
      <c r="C52" s="178"/>
      <c r="D52" s="16">
        <v>56465</v>
      </c>
      <c r="E52" s="16">
        <v>146319</v>
      </c>
      <c r="F52" s="179">
        <v>202784</v>
      </c>
      <c r="G52" s="179"/>
      <c r="H52" s="32"/>
    </row>
    <row r="53" spans="1:9" ht="14.45" customHeight="1">
      <c r="A53" s="178" t="s">
        <v>138</v>
      </c>
      <c r="B53" s="178"/>
      <c r="C53" s="178"/>
      <c r="D53" s="16">
        <v>24525</v>
      </c>
      <c r="E53" s="16">
        <v>66881</v>
      </c>
      <c r="F53" s="179">
        <v>91406</v>
      </c>
      <c r="G53" s="179"/>
      <c r="H53" s="32"/>
    </row>
    <row r="54" spans="1:9" ht="14.45" customHeight="1">
      <c r="A54" s="178" t="s">
        <v>139</v>
      </c>
      <c r="B54" s="178"/>
      <c r="C54" s="178"/>
      <c r="D54" s="16">
        <v>242241</v>
      </c>
      <c r="E54" s="16">
        <v>688522</v>
      </c>
      <c r="F54" s="179">
        <v>930763</v>
      </c>
      <c r="G54" s="179"/>
      <c r="H54" s="32"/>
    </row>
    <row r="55" spans="1:9" ht="14.45" customHeight="1">
      <c r="A55" s="178" t="s">
        <v>140</v>
      </c>
      <c r="B55" s="178"/>
      <c r="C55" s="178"/>
      <c r="D55" s="16">
        <v>68465</v>
      </c>
      <c r="E55" s="16">
        <v>205390</v>
      </c>
      <c r="F55" s="179">
        <v>273855</v>
      </c>
      <c r="G55" s="179"/>
      <c r="H55" s="32"/>
    </row>
    <row r="56" spans="1:9" ht="14.45" customHeight="1">
      <c r="A56" s="178" t="s">
        <v>141</v>
      </c>
      <c r="B56" s="178"/>
      <c r="C56" s="178"/>
      <c r="D56" s="16">
        <v>45053</v>
      </c>
      <c r="E56" s="16">
        <v>97702</v>
      </c>
      <c r="F56" s="179">
        <v>142755</v>
      </c>
      <c r="G56" s="179"/>
      <c r="H56" s="32"/>
    </row>
    <row r="57" spans="1:9" ht="14.45" customHeight="1">
      <c r="A57" s="178" t="s">
        <v>142</v>
      </c>
      <c r="B57" s="178"/>
      <c r="C57" s="178"/>
      <c r="D57" s="16">
        <v>71580</v>
      </c>
      <c r="E57" s="16">
        <v>126549</v>
      </c>
      <c r="F57" s="179">
        <v>198129</v>
      </c>
      <c r="G57" s="179"/>
      <c r="H57" s="32"/>
    </row>
    <row r="58" spans="1:9" ht="14.45" customHeight="1">
      <c r="A58" s="178" t="s">
        <v>143</v>
      </c>
      <c r="B58" s="178"/>
      <c r="C58" s="178"/>
      <c r="D58" s="16">
        <v>89916</v>
      </c>
      <c r="E58" s="16">
        <v>204079</v>
      </c>
      <c r="F58" s="179">
        <v>293995</v>
      </c>
      <c r="G58" s="179"/>
      <c r="H58" s="32"/>
    </row>
    <row r="59" spans="1:9" ht="14.45" customHeight="1">
      <c r="A59" s="178" t="s">
        <v>144</v>
      </c>
      <c r="B59" s="178"/>
      <c r="C59" s="178"/>
      <c r="D59" s="16">
        <v>61857</v>
      </c>
      <c r="E59" s="16">
        <v>123646</v>
      </c>
      <c r="F59" s="179">
        <v>185503</v>
      </c>
      <c r="G59" s="179"/>
      <c r="H59" s="32"/>
    </row>
    <row r="60" spans="1:9" ht="14.45" customHeight="1">
      <c r="A60" s="178" t="s">
        <v>145</v>
      </c>
      <c r="B60" s="178"/>
      <c r="C60" s="178"/>
      <c r="D60" s="16">
        <v>45487</v>
      </c>
      <c r="E60" s="16">
        <v>95546</v>
      </c>
      <c r="F60" s="179">
        <v>141033</v>
      </c>
      <c r="G60" s="179"/>
      <c r="H60" s="32"/>
    </row>
    <row r="61" spans="1:9" ht="14.45" customHeight="1">
      <c r="A61" s="178" t="s">
        <v>146</v>
      </c>
      <c r="B61" s="178"/>
      <c r="C61" s="178"/>
      <c r="D61" s="16">
        <v>66139</v>
      </c>
      <c r="E61" s="16">
        <v>136923</v>
      </c>
      <c r="F61" s="179">
        <v>203062</v>
      </c>
      <c r="G61" s="179"/>
      <c r="H61" s="32"/>
    </row>
    <row r="62" spans="1:9" ht="14.45" customHeight="1">
      <c r="A62" s="178" t="s">
        <v>147</v>
      </c>
      <c r="B62" s="178"/>
      <c r="C62" s="178"/>
      <c r="D62" s="16">
        <v>66608</v>
      </c>
      <c r="E62" s="16">
        <v>165775</v>
      </c>
      <c r="F62" s="179">
        <v>232383</v>
      </c>
      <c r="G62" s="179"/>
      <c r="H62" s="32"/>
    </row>
    <row r="63" spans="1:9" ht="14.45" customHeight="1">
      <c r="A63" s="178" t="s">
        <v>71</v>
      </c>
      <c r="B63" s="178"/>
      <c r="C63" s="178"/>
      <c r="D63" s="148">
        <v>252688</v>
      </c>
      <c r="E63" s="148">
        <v>421134</v>
      </c>
      <c r="F63" s="184">
        <v>673822</v>
      </c>
      <c r="G63" s="184"/>
      <c r="H63" s="32"/>
    </row>
    <row r="64" spans="1:9" ht="14.45" customHeight="1">
      <c r="A64" s="176" t="s">
        <v>4</v>
      </c>
      <c r="B64" s="176"/>
      <c r="C64" s="176"/>
      <c r="D64" s="148">
        <v>7563355</v>
      </c>
      <c r="E64" s="148">
        <v>23237403</v>
      </c>
      <c r="F64" s="184">
        <f>SUM(F3:G63)</f>
        <v>30800758</v>
      </c>
      <c r="G64" s="184"/>
      <c r="I64" s="132"/>
    </row>
    <row r="65" spans="1:7" ht="12.95" customHeight="1">
      <c r="A65" s="33"/>
      <c r="B65" s="34" t="s">
        <v>148</v>
      </c>
      <c r="C65" s="180" t="s">
        <v>149</v>
      </c>
      <c r="D65" s="180"/>
      <c r="E65" s="180"/>
      <c r="F65" s="180"/>
      <c r="G65" s="180"/>
    </row>
    <row r="66" spans="1:7" ht="12.95" customHeight="1">
      <c r="A66" s="33"/>
      <c r="B66" s="34" t="s">
        <v>150</v>
      </c>
      <c r="C66" s="182" t="s">
        <v>167</v>
      </c>
      <c r="D66" s="182"/>
      <c r="E66" s="182"/>
      <c r="F66" s="182"/>
      <c r="G66" s="182"/>
    </row>
    <row r="67" spans="1:7" ht="12.95" customHeight="1">
      <c r="A67" s="33"/>
      <c r="B67" s="33"/>
      <c r="C67" s="183"/>
      <c r="D67" s="183"/>
      <c r="E67" s="183"/>
      <c r="F67" s="183"/>
      <c r="G67" s="183"/>
    </row>
    <row r="68" spans="1:7" ht="14.25" customHeight="1">
      <c r="B68" s="3"/>
      <c r="C68" s="181"/>
      <c r="D68" s="181"/>
      <c r="E68" s="181"/>
      <c r="F68" s="181"/>
      <c r="G68" s="181"/>
    </row>
  </sheetData>
  <mergeCells count="130">
    <mergeCell ref="C65:G65"/>
    <mergeCell ref="C68:G68"/>
    <mergeCell ref="C66:G67"/>
    <mergeCell ref="A63:C63"/>
    <mergeCell ref="F63:G63"/>
    <mergeCell ref="A60:C60"/>
    <mergeCell ref="F60:G60"/>
    <mergeCell ref="A57:C57"/>
    <mergeCell ref="F57:G57"/>
    <mergeCell ref="A58:C58"/>
    <mergeCell ref="F58:G58"/>
    <mergeCell ref="A59:C59"/>
    <mergeCell ref="F59:G59"/>
    <mergeCell ref="A61:C61"/>
    <mergeCell ref="F61:G61"/>
    <mergeCell ref="A62:C62"/>
    <mergeCell ref="F62:G62"/>
    <mergeCell ref="A64:C64"/>
    <mergeCell ref="F64:G64"/>
    <mergeCell ref="A54:C54"/>
    <mergeCell ref="F54:G54"/>
    <mergeCell ref="A55:C55"/>
    <mergeCell ref="F55:G55"/>
    <mergeCell ref="A56:C56"/>
    <mergeCell ref="F56:G56"/>
    <mergeCell ref="A51:C51"/>
    <mergeCell ref="F51:G51"/>
    <mergeCell ref="A52:C52"/>
    <mergeCell ref="F52:G52"/>
    <mergeCell ref="A53:C53"/>
    <mergeCell ref="F53:G53"/>
    <mergeCell ref="A48:C48"/>
    <mergeCell ref="F48:G48"/>
    <mergeCell ref="A49:C49"/>
    <mergeCell ref="F49:G49"/>
    <mergeCell ref="A50:C50"/>
    <mergeCell ref="F50:G50"/>
    <mergeCell ref="A45:C45"/>
    <mergeCell ref="F45:G45"/>
    <mergeCell ref="A46:C46"/>
    <mergeCell ref="F46:G46"/>
    <mergeCell ref="A47:C47"/>
    <mergeCell ref="F47:G47"/>
    <mergeCell ref="A42:C42"/>
    <mergeCell ref="F42:G42"/>
    <mergeCell ref="A43:C43"/>
    <mergeCell ref="F43:G43"/>
    <mergeCell ref="A44:C44"/>
    <mergeCell ref="F44:G44"/>
    <mergeCell ref="A39:C39"/>
    <mergeCell ref="F39:G39"/>
    <mergeCell ref="A40:C40"/>
    <mergeCell ref="F40:G40"/>
    <mergeCell ref="A41:C41"/>
    <mergeCell ref="F41:G41"/>
    <mergeCell ref="A36:C36"/>
    <mergeCell ref="F36:G36"/>
    <mergeCell ref="A37:C37"/>
    <mergeCell ref="F37:G37"/>
    <mergeCell ref="A38:C38"/>
    <mergeCell ref="F38:G38"/>
    <mergeCell ref="A33:C33"/>
    <mergeCell ref="F33:G33"/>
    <mergeCell ref="A34:C34"/>
    <mergeCell ref="F34:G34"/>
    <mergeCell ref="A35:C35"/>
    <mergeCell ref="F35:G35"/>
    <mergeCell ref="A30:C30"/>
    <mergeCell ref="F30:G30"/>
    <mergeCell ref="A31:C31"/>
    <mergeCell ref="F31:G31"/>
    <mergeCell ref="A32:C32"/>
    <mergeCell ref="F32:G32"/>
    <mergeCell ref="A27:C27"/>
    <mergeCell ref="F27:G27"/>
    <mergeCell ref="A28:C28"/>
    <mergeCell ref="F28:G28"/>
    <mergeCell ref="A29:C29"/>
    <mergeCell ref="F29:G29"/>
    <mergeCell ref="A24:C24"/>
    <mergeCell ref="F24:G24"/>
    <mergeCell ref="A25:C25"/>
    <mergeCell ref="F25:G25"/>
    <mergeCell ref="A26:C26"/>
    <mergeCell ref="F26:G26"/>
    <mergeCell ref="A21:C21"/>
    <mergeCell ref="F21:G21"/>
    <mergeCell ref="A22:C22"/>
    <mergeCell ref="F22:G22"/>
    <mergeCell ref="A23:C23"/>
    <mergeCell ref="F23:G23"/>
    <mergeCell ref="A18:C18"/>
    <mergeCell ref="F18:G18"/>
    <mergeCell ref="A19:C19"/>
    <mergeCell ref="F19:G19"/>
    <mergeCell ref="A20:C20"/>
    <mergeCell ref="F20:G20"/>
    <mergeCell ref="A15:C15"/>
    <mergeCell ref="F15:G15"/>
    <mergeCell ref="A16:C16"/>
    <mergeCell ref="F16:G16"/>
    <mergeCell ref="A17:C17"/>
    <mergeCell ref="F17:G17"/>
    <mergeCell ref="A12:C12"/>
    <mergeCell ref="F12:G12"/>
    <mergeCell ref="A13:C13"/>
    <mergeCell ref="F13:G13"/>
    <mergeCell ref="A14:C14"/>
    <mergeCell ref="F14:G14"/>
    <mergeCell ref="A9:C9"/>
    <mergeCell ref="F9:G9"/>
    <mergeCell ref="A10:C10"/>
    <mergeCell ref="F10:G10"/>
    <mergeCell ref="A11:C11"/>
    <mergeCell ref="F11:G11"/>
    <mergeCell ref="A2:C2"/>
    <mergeCell ref="F2:G2"/>
    <mergeCell ref="A1:G1"/>
    <mergeCell ref="A6:C6"/>
    <mergeCell ref="F6:G6"/>
    <mergeCell ref="A7:C7"/>
    <mergeCell ref="F7:G7"/>
    <mergeCell ref="A8:C8"/>
    <mergeCell ref="F8:G8"/>
    <mergeCell ref="A3:C3"/>
    <mergeCell ref="F3:G3"/>
    <mergeCell ref="A4:C4"/>
    <mergeCell ref="F4:G4"/>
    <mergeCell ref="A5:C5"/>
    <mergeCell ref="F5:G5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31" workbookViewId="0">
      <selection activeCell="N51" sqref="N51"/>
    </sheetView>
  </sheetViews>
  <sheetFormatPr defaultRowHeight="13.5"/>
  <sheetData>
    <row r="1" spans="1:9">
      <c r="A1" s="185" t="s">
        <v>164</v>
      </c>
      <c r="B1" s="186"/>
      <c r="C1" s="186"/>
      <c r="D1" s="186"/>
      <c r="E1" s="186"/>
      <c r="F1" s="186"/>
      <c r="G1" s="186"/>
      <c r="H1" s="186"/>
      <c r="I1" s="186"/>
    </row>
    <row r="2" spans="1:9" ht="12" customHeight="1">
      <c r="A2" s="190" t="s">
        <v>154</v>
      </c>
      <c r="B2" s="190" t="s">
        <v>2</v>
      </c>
      <c r="C2" s="190"/>
      <c r="D2" s="190"/>
      <c r="E2" s="190" t="s">
        <v>3</v>
      </c>
      <c r="F2" s="190"/>
      <c r="G2" s="190"/>
      <c r="H2" s="190" t="s">
        <v>9</v>
      </c>
      <c r="I2" s="190" t="s">
        <v>155</v>
      </c>
    </row>
    <row r="3" spans="1:9" ht="12" customHeight="1">
      <c r="A3" s="191"/>
      <c r="B3" s="22" t="s">
        <v>156</v>
      </c>
      <c r="C3" s="22" t="s">
        <v>157</v>
      </c>
      <c r="D3" s="22" t="s">
        <v>7</v>
      </c>
      <c r="E3" s="22" t="s">
        <v>158</v>
      </c>
      <c r="F3" s="22" t="s">
        <v>159</v>
      </c>
      <c r="G3" s="22" t="s">
        <v>7</v>
      </c>
      <c r="H3" s="191"/>
      <c r="I3" s="191"/>
    </row>
    <row r="4" spans="1:9" ht="12" customHeight="1">
      <c r="A4" s="23" t="s">
        <v>160</v>
      </c>
      <c r="B4" s="21" t="s">
        <v>161</v>
      </c>
      <c r="C4" s="21" t="s">
        <v>161</v>
      </c>
      <c r="D4" s="21">
        <v>8</v>
      </c>
      <c r="E4" s="21" t="s">
        <v>161</v>
      </c>
      <c r="F4" s="21" t="s">
        <v>161</v>
      </c>
      <c r="G4" s="21" t="s">
        <v>161</v>
      </c>
      <c r="H4" s="21">
        <v>8</v>
      </c>
      <c r="I4" s="21" t="s">
        <v>162</v>
      </c>
    </row>
    <row r="5" spans="1:9" ht="12" customHeight="1">
      <c r="A5" s="19">
        <v>22</v>
      </c>
      <c r="B5" s="18" t="s">
        <v>161</v>
      </c>
      <c r="C5" s="18" t="s">
        <v>161</v>
      </c>
      <c r="D5" s="18">
        <v>11</v>
      </c>
      <c r="E5" s="18" t="s">
        <v>161</v>
      </c>
      <c r="F5" s="18">
        <v>1</v>
      </c>
      <c r="G5" s="18">
        <v>1</v>
      </c>
      <c r="H5" s="18">
        <v>12</v>
      </c>
      <c r="I5" s="18" t="s">
        <v>162</v>
      </c>
    </row>
    <row r="6" spans="1:9" ht="12" customHeight="1">
      <c r="A6" s="19">
        <v>23</v>
      </c>
      <c r="B6" s="18" t="s">
        <v>161</v>
      </c>
      <c r="C6" s="18" t="s">
        <v>161</v>
      </c>
      <c r="D6" s="18">
        <v>163</v>
      </c>
      <c r="E6" s="18" t="s">
        <v>161</v>
      </c>
      <c r="F6" s="18" t="s">
        <v>161</v>
      </c>
      <c r="G6" s="18">
        <v>1</v>
      </c>
      <c r="H6" s="18">
        <v>164</v>
      </c>
      <c r="I6" s="18" t="s">
        <v>162</v>
      </c>
    </row>
    <row r="7" spans="1:9" ht="12" customHeight="1">
      <c r="A7" s="19">
        <v>24</v>
      </c>
      <c r="B7" s="18" t="s">
        <v>161</v>
      </c>
      <c r="C7" s="18" t="s">
        <v>161</v>
      </c>
      <c r="D7" s="18">
        <v>857</v>
      </c>
      <c r="E7" s="18" t="s">
        <v>161</v>
      </c>
      <c r="F7" s="18" t="s">
        <v>161</v>
      </c>
      <c r="G7" s="18" t="s">
        <v>161</v>
      </c>
      <c r="H7" s="18">
        <v>857</v>
      </c>
      <c r="I7" s="18" t="s">
        <v>162</v>
      </c>
    </row>
    <row r="8" spans="1:9" ht="12" customHeight="1">
      <c r="A8" s="19">
        <v>25</v>
      </c>
      <c r="B8" s="18" t="s">
        <v>161</v>
      </c>
      <c r="C8" s="18" t="s">
        <v>161</v>
      </c>
      <c r="D8" s="20">
        <v>3291</v>
      </c>
      <c r="E8" s="18" t="s">
        <v>161</v>
      </c>
      <c r="F8" s="18" t="s">
        <v>161</v>
      </c>
      <c r="G8" s="18" t="s">
        <v>161</v>
      </c>
      <c r="H8" s="20">
        <v>3291</v>
      </c>
      <c r="I8" s="18" t="s">
        <v>162</v>
      </c>
    </row>
    <row r="9" spans="1:9" ht="12" customHeight="1">
      <c r="A9" s="19">
        <v>26</v>
      </c>
      <c r="B9" s="18" t="s">
        <v>161</v>
      </c>
      <c r="C9" s="18" t="s">
        <v>161</v>
      </c>
      <c r="D9" s="20">
        <v>8737</v>
      </c>
      <c r="E9" s="18" t="s">
        <v>161</v>
      </c>
      <c r="F9" s="18" t="s">
        <v>161</v>
      </c>
      <c r="G9" s="18" t="s">
        <v>161</v>
      </c>
      <c r="H9" s="20">
        <v>8737</v>
      </c>
      <c r="I9" s="18" t="s">
        <v>162</v>
      </c>
    </row>
    <row r="10" spans="1:9" ht="12" customHeight="1">
      <c r="A10" s="19">
        <v>27</v>
      </c>
      <c r="B10" s="18" t="s">
        <v>161</v>
      </c>
      <c r="C10" s="18" t="s">
        <v>161</v>
      </c>
      <c r="D10" s="20">
        <v>12283</v>
      </c>
      <c r="E10" s="18">
        <v>489</v>
      </c>
      <c r="F10" s="18">
        <v>669</v>
      </c>
      <c r="G10" s="20">
        <v>1158</v>
      </c>
      <c r="H10" s="20">
        <v>13441</v>
      </c>
      <c r="I10" s="18" t="s">
        <v>162</v>
      </c>
    </row>
    <row r="11" spans="1:9" ht="12" customHeight="1">
      <c r="A11" s="19">
        <v>28</v>
      </c>
      <c r="B11" s="18" t="s">
        <v>161</v>
      </c>
      <c r="C11" s="18" t="s">
        <v>161</v>
      </c>
      <c r="D11" s="20">
        <v>15769</v>
      </c>
      <c r="E11" s="18">
        <v>562</v>
      </c>
      <c r="F11" s="20">
        <v>1070</v>
      </c>
      <c r="G11" s="20">
        <v>1632</v>
      </c>
      <c r="H11" s="20">
        <v>17401</v>
      </c>
      <c r="I11" s="18" t="s">
        <v>162</v>
      </c>
    </row>
    <row r="12" spans="1:9" ht="12" customHeight="1">
      <c r="A12" s="19">
        <v>29</v>
      </c>
      <c r="B12" s="18" t="s">
        <v>161</v>
      </c>
      <c r="C12" s="18" t="s">
        <v>161</v>
      </c>
      <c r="D12" s="20">
        <v>17102</v>
      </c>
      <c r="E12" s="18">
        <v>637</v>
      </c>
      <c r="F12" s="20">
        <v>1708</v>
      </c>
      <c r="G12" s="20">
        <v>2345</v>
      </c>
      <c r="H12" s="20">
        <v>19447</v>
      </c>
      <c r="I12" s="18" t="s">
        <v>162</v>
      </c>
    </row>
    <row r="13" spans="1:9" ht="12" customHeight="1">
      <c r="A13" s="19">
        <v>30</v>
      </c>
      <c r="B13" s="18" t="s">
        <v>161</v>
      </c>
      <c r="C13" s="18" t="s">
        <v>161</v>
      </c>
      <c r="D13" s="20">
        <v>21893</v>
      </c>
      <c r="E13" s="18">
        <v>668</v>
      </c>
      <c r="F13" s="20">
        <v>1972</v>
      </c>
      <c r="G13" s="20">
        <v>2640</v>
      </c>
      <c r="H13" s="20">
        <v>24533</v>
      </c>
      <c r="I13" s="18" t="s">
        <v>162</v>
      </c>
    </row>
    <row r="14" spans="1:9" ht="12" customHeight="1">
      <c r="A14" s="19">
        <v>31</v>
      </c>
      <c r="B14" s="18" t="s">
        <v>161</v>
      </c>
      <c r="C14" s="18" t="s">
        <v>161</v>
      </c>
      <c r="D14" s="20">
        <v>30996</v>
      </c>
      <c r="E14" s="18">
        <v>759</v>
      </c>
      <c r="F14" s="20">
        <v>1938</v>
      </c>
      <c r="G14" s="20">
        <v>2697</v>
      </c>
      <c r="H14" s="20">
        <v>33693</v>
      </c>
      <c r="I14" s="20">
        <v>35803</v>
      </c>
    </row>
    <row r="15" spans="1:9" ht="12" customHeight="1">
      <c r="A15" s="19">
        <v>32</v>
      </c>
      <c r="B15" s="18" t="s">
        <v>161</v>
      </c>
      <c r="C15" s="18" t="s">
        <v>161</v>
      </c>
      <c r="D15" s="20">
        <v>33808</v>
      </c>
      <c r="E15" s="18">
        <v>845</v>
      </c>
      <c r="F15" s="20">
        <v>2064</v>
      </c>
      <c r="G15" s="20">
        <v>2909</v>
      </c>
      <c r="H15" s="20">
        <v>36717</v>
      </c>
      <c r="I15" s="20">
        <v>45744</v>
      </c>
    </row>
    <row r="16" spans="1:9" ht="12" customHeight="1">
      <c r="A16" s="19">
        <v>33</v>
      </c>
      <c r="B16" s="18" t="s">
        <v>161</v>
      </c>
      <c r="C16" s="18" t="s">
        <v>161</v>
      </c>
      <c r="D16" s="20">
        <v>33818</v>
      </c>
      <c r="E16" s="18">
        <v>991</v>
      </c>
      <c r="F16" s="20">
        <v>1837</v>
      </c>
      <c r="G16" s="20">
        <v>2828</v>
      </c>
      <c r="H16" s="20">
        <v>36646</v>
      </c>
      <c r="I16" s="20">
        <v>49263</v>
      </c>
    </row>
    <row r="17" spans="1:9" ht="12" customHeight="1">
      <c r="A17" s="19">
        <v>34</v>
      </c>
      <c r="B17" s="18" t="s">
        <v>161</v>
      </c>
      <c r="C17" s="18" t="s">
        <v>161</v>
      </c>
      <c r="D17" s="20">
        <v>39380</v>
      </c>
      <c r="E17" s="20">
        <v>1109</v>
      </c>
      <c r="F17" s="20">
        <v>2010</v>
      </c>
      <c r="G17" s="20">
        <v>3119</v>
      </c>
      <c r="H17" s="20">
        <v>42499</v>
      </c>
      <c r="I17" s="20">
        <v>57194</v>
      </c>
    </row>
    <row r="18" spans="1:9" ht="12" customHeight="1">
      <c r="A18" s="19">
        <v>35</v>
      </c>
      <c r="B18" s="18" t="s">
        <v>161</v>
      </c>
      <c r="C18" s="18" t="s">
        <v>161</v>
      </c>
      <c r="D18" s="20">
        <v>53710</v>
      </c>
      <c r="E18" s="20">
        <v>1062</v>
      </c>
      <c r="F18" s="20">
        <v>2382</v>
      </c>
      <c r="G18" s="20">
        <v>3444</v>
      </c>
      <c r="H18" s="20">
        <v>57154</v>
      </c>
      <c r="I18" s="20">
        <v>76214</v>
      </c>
    </row>
    <row r="19" spans="1:9" ht="12" customHeight="1">
      <c r="A19" s="19">
        <v>36</v>
      </c>
      <c r="B19" s="18" t="s">
        <v>161</v>
      </c>
      <c r="C19" s="18" t="s">
        <v>161</v>
      </c>
      <c r="D19" s="20">
        <v>61509</v>
      </c>
      <c r="E19" s="20">
        <v>1165</v>
      </c>
      <c r="F19" s="20">
        <v>3124</v>
      </c>
      <c r="G19" s="20">
        <v>4289</v>
      </c>
      <c r="H19" s="20">
        <v>65798</v>
      </c>
      <c r="I19" s="20">
        <v>86328</v>
      </c>
    </row>
    <row r="20" spans="1:9" ht="12" customHeight="1">
      <c r="A20" s="19">
        <v>37</v>
      </c>
      <c r="B20" s="20">
        <v>1920</v>
      </c>
      <c r="C20" s="20">
        <v>62032</v>
      </c>
      <c r="D20" s="20">
        <v>63952</v>
      </c>
      <c r="E20" s="20">
        <v>1184</v>
      </c>
      <c r="F20" s="20">
        <v>3272</v>
      </c>
      <c r="G20" s="20">
        <v>4456</v>
      </c>
      <c r="H20" s="20">
        <v>68408</v>
      </c>
      <c r="I20" s="20">
        <v>74822</v>
      </c>
    </row>
    <row r="21" spans="1:9" ht="12" customHeight="1">
      <c r="A21" s="19">
        <v>38</v>
      </c>
      <c r="B21" s="20">
        <v>2566</v>
      </c>
      <c r="C21" s="20">
        <v>85022</v>
      </c>
      <c r="D21" s="20">
        <v>87588</v>
      </c>
      <c r="E21" s="20">
        <v>1238</v>
      </c>
      <c r="F21" s="20">
        <v>3521</v>
      </c>
      <c r="G21" s="20">
        <v>4759</v>
      </c>
      <c r="H21" s="20">
        <v>92347</v>
      </c>
      <c r="I21" s="20">
        <v>100074</v>
      </c>
    </row>
    <row r="22" spans="1:9" ht="12" customHeight="1">
      <c r="A22" s="19">
        <v>39</v>
      </c>
      <c r="B22" s="20">
        <v>4191</v>
      </c>
      <c r="C22" s="20">
        <v>114476</v>
      </c>
      <c r="D22" s="20">
        <v>118667</v>
      </c>
      <c r="E22" s="20">
        <v>1424</v>
      </c>
      <c r="F22" s="20">
        <v>4361</v>
      </c>
      <c r="G22" s="20">
        <v>5785</v>
      </c>
      <c r="H22" s="20">
        <v>124452</v>
      </c>
      <c r="I22" s="20">
        <v>127749</v>
      </c>
    </row>
    <row r="23" spans="1:9" ht="12" customHeight="1">
      <c r="A23" s="19">
        <v>40</v>
      </c>
      <c r="B23" s="20">
        <v>8624</v>
      </c>
      <c r="C23" s="20">
        <v>139114</v>
      </c>
      <c r="D23" s="20">
        <v>147738</v>
      </c>
      <c r="E23" s="20">
        <v>1737</v>
      </c>
      <c r="F23" s="20">
        <v>4772</v>
      </c>
      <c r="G23" s="20">
        <v>6509</v>
      </c>
      <c r="H23" s="20">
        <v>154247</v>
      </c>
      <c r="I23" s="20">
        <v>158827</v>
      </c>
    </row>
    <row r="24" spans="1:9" ht="12" customHeight="1">
      <c r="A24" s="19">
        <v>41</v>
      </c>
      <c r="B24" s="20">
        <v>15171</v>
      </c>
      <c r="C24" s="20">
        <v>187819</v>
      </c>
      <c r="D24" s="20">
        <v>202990</v>
      </c>
      <c r="E24" s="20">
        <v>2056</v>
      </c>
      <c r="F24" s="20">
        <v>5645</v>
      </c>
      <c r="G24" s="20">
        <v>7701</v>
      </c>
      <c r="H24" s="20">
        <v>210691</v>
      </c>
      <c r="I24" s="20">
        <v>212409</v>
      </c>
    </row>
    <row r="25" spans="1:9" ht="12" customHeight="1">
      <c r="A25" s="19">
        <v>42</v>
      </c>
      <c r="B25" s="20">
        <v>11291</v>
      </c>
      <c r="C25" s="20">
        <v>244108</v>
      </c>
      <c r="D25" s="20">
        <v>255399</v>
      </c>
      <c r="E25" s="20">
        <v>2142</v>
      </c>
      <c r="F25" s="20">
        <v>6903</v>
      </c>
      <c r="G25" s="20">
        <v>9045</v>
      </c>
      <c r="H25" s="20">
        <v>264444</v>
      </c>
      <c r="I25" s="20">
        <v>267538</v>
      </c>
    </row>
    <row r="26" spans="1:9" ht="12" customHeight="1">
      <c r="A26" s="19">
        <v>43</v>
      </c>
      <c r="B26" s="20">
        <v>14972</v>
      </c>
      <c r="C26" s="20">
        <v>306702</v>
      </c>
      <c r="D26" s="20">
        <v>321674</v>
      </c>
      <c r="E26" s="20">
        <v>2342</v>
      </c>
      <c r="F26" s="20">
        <v>7201</v>
      </c>
      <c r="G26" s="20">
        <v>9543</v>
      </c>
      <c r="H26" s="20">
        <v>331217</v>
      </c>
      <c r="I26" s="20">
        <v>343542</v>
      </c>
    </row>
    <row r="27" spans="1:9" ht="12" customHeight="1">
      <c r="A27" s="19">
        <v>44</v>
      </c>
      <c r="B27" s="20">
        <v>18524</v>
      </c>
      <c r="C27" s="20">
        <v>454886</v>
      </c>
      <c r="D27" s="20">
        <v>473410</v>
      </c>
      <c r="E27" s="20">
        <v>2369</v>
      </c>
      <c r="F27" s="20">
        <v>7668</v>
      </c>
      <c r="G27" s="20">
        <v>10037</v>
      </c>
      <c r="H27" s="20">
        <v>483447</v>
      </c>
      <c r="I27" s="20">
        <v>492880</v>
      </c>
    </row>
    <row r="28" spans="1:9" ht="12" customHeight="1">
      <c r="A28" s="19">
        <v>45</v>
      </c>
      <c r="B28" s="20">
        <v>45184</v>
      </c>
      <c r="C28" s="20">
        <v>599500</v>
      </c>
      <c r="D28" s="20">
        <v>644684</v>
      </c>
      <c r="E28" s="20">
        <v>2526</v>
      </c>
      <c r="F28" s="20">
        <v>8522</v>
      </c>
      <c r="G28" s="20">
        <v>11048</v>
      </c>
      <c r="H28" s="20">
        <v>655732</v>
      </c>
      <c r="I28" s="20">
        <v>663467</v>
      </c>
    </row>
    <row r="29" spans="1:9" ht="12" customHeight="1">
      <c r="A29" s="19">
        <v>46</v>
      </c>
      <c r="B29" s="20">
        <v>410926</v>
      </c>
      <c r="C29" s="20">
        <v>445685</v>
      </c>
      <c r="D29" s="20">
        <v>856611</v>
      </c>
      <c r="E29" s="20">
        <v>2534</v>
      </c>
      <c r="F29" s="20">
        <v>9420</v>
      </c>
      <c r="G29" s="20">
        <v>11954</v>
      </c>
      <c r="H29" s="20">
        <v>868565</v>
      </c>
      <c r="I29" s="20">
        <v>961135</v>
      </c>
    </row>
    <row r="30" spans="1:9" ht="12" customHeight="1">
      <c r="A30" s="19">
        <v>47</v>
      </c>
      <c r="B30" s="20">
        <v>593228</v>
      </c>
      <c r="C30" s="20">
        <v>482801</v>
      </c>
      <c r="D30" s="20">
        <v>1076029</v>
      </c>
      <c r="E30" s="20">
        <v>2654</v>
      </c>
      <c r="F30" s="20">
        <v>10014</v>
      </c>
      <c r="G30" s="20">
        <v>12668</v>
      </c>
      <c r="H30" s="20">
        <v>1088697</v>
      </c>
      <c r="I30" s="20">
        <v>1392045</v>
      </c>
    </row>
    <row r="31" spans="1:9" ht="12" customHeight="1">
      <c r="A31" s="19">
        <v>48</v>
      </c>
      <c r="B31" s="20">
        <v>981659</v>
      </c>
      <c r="C31" s="20">
        <v>565831</v>
      </c>
      <c r="D31" s="20">
        <v>1547490</v>
      </c>
      <c r="E31" s="20">
        <v>2449</v>
      </c>
      <c r="F31" s="20">
        <v>8992</v>
      </c>
      <c r="G31" s="20">
        <v>11441</v>
      </c>
      <c r="H31" s="20">
        <v>1558931</v>
      </c>
      <c r="I31" s="20">
        <v>2288966</v>
      </c>
    </row>
    <row r="32" spans="1:9" ht="12" customHeight="1">
      <c r="A32" s="19">
        <v>49</v>
      </c>
      <c r="B32" s="20">
        <v>916218</v>
      </c>
      <c r="C32" s="20">
        <v>415382</v>
      </c>
      <c r="D32" s="20">
        <v>1331600</v>
      </c>
      <c r="E32" s="20">
        <v>2405</v>
      </c>
      <c r="F32" s="20">
        <v>9826</v>
      </c>
      <c r="G32" s="20">
        <v>12231</v>
      </c>
      <c r="H32" s="20">
        <v>1343831</v>
      </c>
      <c r="I32" s="20">
        <v>2335530</v>
      </c>
    </row>
    <row r="33" spans="1:9" ht="12" customHeight="1">
      <c r="A33" s="19">
        <v>50</v>
      </c>
      <c r="B33" s="20">
        <v>967320</v>
      </c>
      <c r="C33" s="20">
        <v>344523</v>
      </c>
      <c r="D33" s="20">
        <v>1311843</v>
      </c>
      <c r="E33" s="20">
        <v>2561</v>
      </c>
      <c r="F33" s="20">
        <v>9313</v>
      </c>
      <c r="G33" s="20">
        <v>11874</v>
      </c>
      <c r="H33" s="20">
        <v>1323717</v>
      </c>
      <c r="I33" s="20">
        <v>2466326</v>
      </c>
    </row>
    <row r="34" spans="1:9" ht="12" customHeight="1">
      <c r="A34" s="19">
        <v>51</v>
      </c>
      <c r="B34" s="20">
        <v>1225672</v>
      </c>
      <c r="C34" s="20">
        <v>328705</v>
      </c>
      <c r="D34" s="20">
        <v>1554377</v>
      </c>
      <c r="E34" s="20">
        <v>2677</v>
      </c>
      <c r="F34" s="20">
        <v>9858</v>
      </c>
      <c r="G34" s="20">
        <v>12535</v>
      </c>
      <c r="H34" s="20">
        <v>1566912</v>
      </c>
      <c r="I34" s="20">
        <v>2852584</v>
      </c>
    </row>
    <row r="35" spans="1:9" ht="12" customHeight="1">
      <c r="A35" s="19">
        <v>52</v>
      </c>
      <c r="B35" s="20">
        <v>1455508</v>
      </c>
      <c r="C35" s="20">
        <v>280490</v>
      </c>
      <c r="D35" s="20">
        <v>1735998</v>
      </c>
      <c r="E35" s="20">
        <v>2692</v>
      </c>
      <c r="F35" s="20">
        <v>11480</v>
      </c>
      <c r="G35" s="20">
        <v>14172</v>
      </c>
      <c r="H35" s="20">
        <v>1750170</v>
      </c>
      <c r="I35" s="20">
        <v>3151431</v>
      </c>
    </row>
    <row r="36" spans="1:9" ht="12" customHeight="1">
      <c r="A36" s="19">
        <v>53</v>
      </c>
      <c r="B36" s="20">
        <v>1529252</v>
      </c>
      <c r="C36" s="20">
        <v>289242</v>
      </c>
      <c r="D36" s="20">
        <v>1818494</v>
      </c>
      <c r="E36" s="20">
        <v>3009</v>
      </c>
      <c r="F36" s="20">
        <v>12708</v>
      </c>
      <c r="G36" s="20">
        <v>15717</v>
      </c>
      <c r="H36" s="20">
        <v>1834211</v>
      </c>
      <c r="I36" s="20">
        <v>3525110</v>
      </c>
    </row>
    <row r="37" spans="1:9" ht="12" customHeight="1">
      <c r="A37" s="19">
        <v>54</v>
      </c>
      <c r="B37" s="20">
        <v>1622237</v>
      </c>
      <c r="C37" s="20">
        <v>358306</v>
      </c>
      <c r="D37" s="20">
        <v>1980543</v>
      </c>
      <c r="E37" s="20">
        <v>3184</v>
      </c>
      <c r="F37" s="20">
        <v>13900</v>
      </c>
      <c r="G37" s="20">
        <v>17084</v>
      </c>
      <c r="H37" s="20">
        <v>1997627</v>
      </c>
      <c r="I37" s="20">
        <v>4038298</v>
      </c>
    </row>
    <row r="38" spans="1:9" ht="12" customHeight="1">
      <c r="A38" s="19">
        <v>55</v>
      </c>
      <c r="B38" s="20">
        <v>1494115</v>
      </c>
      <c r="C38" s="20">
        <v>336150</v>
      </c>
      <c r="D38" s="20">
        <v>1830265</v>
      </c>
      <c r="E38" s="20">
        <v>3322</v>
      </c>
      <c r="F38" s="20">
        <v>15237</v>
      </c>
      <c r="G38" s="20">
        <v>18559</v>
      </c>
      <c r="H38" s="20">
        <v>1848824</v>
      </c>
      <c r="I38" s="20">
        <v>3909333</v>
      </c>
    </row>
    <row r="39" spans="1:9" ht="12" customHeight="1">
      <c r="A39" s="19">
        <v>56</v>
      </c>
      <c r="B39" s="20">
        <v>1571186</v>
      </c>
      <c r="C39" s="20">
        <v>360056</v>
      </c>
      <c r="D39" s="20">
        <v>1931242</v>
      </c>
      <c r="E39" s="20">
        <v>2960</v>
      </c>
      <c r="F39" s="20">
        <v>16358</v>
      </c>
      <c r="G39" s="20">
        <v>19318</v>
      </c>
      <c r="H39" s="20">
        <v>1950560</v>
      </c>
      <c r="I39" s="20">
        <v>4006388</v>
      </c>
    </row>
    <row r="40" spans="1:9" ht="12" customHeight="1">
      <c r="A40" s="19">
        <v>57</v>
      </c>
      <c r="B40" s="20">
        <v>1602278</v>
      </c>
      <c r="C40" s="20">
        <v>386402</v>
      </c>
      <c r="D40" s="20">
        <v>1988680</v>
      </c>
      <c r="E40" s="20">
        <v>3109</v>
      </c>
      <c r="F40" s="20">
        <v>16546</v>
      </c>
      <c r="G40" s="20">
        <v>19655</v>
      </c>
      <c r="H40" s="20">
        <v>2008335</v>
      </c>
      <c r="I40" s="20">
        <v>4086138</v>
      </c>
    </row>
    <row r="41" spans="1:9" ht="12" customHeight="1">
      <c r="A41" s="19">
        <v>58</v>
      </c>
      <c r="B41" s="20">
        <v>1686726</v>
      </c>
      <c r="C41" s="20">
        <v>408971</v>
      </c>
      <c r="D41" s="20">
        <v>2095697</v>
      </c>
      <c r="E41" s="20">
        <v>3270</v>
      </c>
      <c r="F41" s="20">
        <v>17202</v>
      </c>
      <c r="G41" s="20">
        <v>20472</v>
      </c>
      <c r="H41" s="20">
        <v>2116169</v>
      </c>
      <c r="I41" s="20">
        <v>4232246</v>
      </c>
    </row>
    <row r="42" spans="1:9" ht="12" customHeight="1">
      <c r="A42" s="19">
        <v>59</v>
      </c>
      <c r="B42" s="20">
        <v>1857675</v>
      </c>
      <c r="C42" s="20">
        <v>431944</v>
      </c>
      <c r="D42" s="20">
        <v>2289619</v>
      </c>
      <c r="E42" s="20">
        <v>3228</v>
      </c>
      <c r="F42" s="20">
        <v>18172</v>
      </c>
      <c r="G42" s="20">
        <v>21400</v>
      </c>
      <c r="H42" s="20">
        <v>2311019</v>
      </c>
      <c r="I42" s="20">
        <v>4658833</v>
      </c>
    </row>
    <row r="43" spans="1:9" ht="12" customHeight="1">
      <c r="A43" s="19">
        <v>60</v>
      </c>
      <c r="B43" s="20">
        <v>1945779</v>
      </c>
      <c r="C43" s="20">
        <v>442925</v>
      </c>
      <c r="D43" s="20">
        <v>2388704</v>
      </c>
      <c r="E43" s="20">
        <v>3473</v>
      </c>
      <c r="F43" s="20">
        <v>18768</v>
      </c>
      <c r="G43" s="20">
        <v>22241</v>
      </c>
      <c r="H43" s="20">
        <v>2410945</v>
      </c>
      <c r="I43" s="20">
        <v>4948366</v>
      </c>
    </row>
    <row r="44" spans="1:9" ht="12" customHeight="1">
      <c r="A44" s="19">
        <v>61</v>
      </c>
      <c r="B44" s="20">
        <v>2208979</v>
      </c>
      <c r="C44" s="20">
        <v>455694</v>
      </c>
      <c r="D44" s="20">
        <v>2664673</v>
      </c>
      <c r="E44" s="20">
        <v>3191</v>
      </c>
      <c r="F44" s="20">
        <v>19631</v>
      </c>
      <c r="G44" s="20">
        <v>22822</v>
      </c>
      <c r="H44" s="20">
        <v>2687495</v>
      </c>
      <c r="I44" s="20">
        <v>5516193</v>
      </c>
    </row>
    <row r="45" spans="1:9" ht="12" customHeight="1">
      <c r="A45" s="19">
        <v>62</v>
      </c>
      <c r="B45" s="20">
        <v>2802592</v>
      </c>
      <c r="C45" s="20">
        <v>506326</v>
      </c>
      <c r="D45" s="20">
        <v>3308918</v>
      </c>
      <c r="E45" s="20">
        <v>3447</v>
      </c>
      <c r="F45" s="20">
        <v>21537</v>
      </c>
      <c r="G45" s="20">
        <v>24984</v>
      </c>
      <c r="H45" s="20">
        <v>3333902</v>
      </c>
      <c r="I45" s="20">
        <v>6829338</v>
      </c>
    </row>
    <row r="46" spans="1:9" ht="12" customHeight="1">
      <c r="A46" s="19">
        <v>63</v>
      </c>
      <c r="B46" s="20">
        <v>3410682</v>
      </c>
      <c r="C46" s="20">
        <v>509354</v>
      </c>
      <c r="D46" s="20">
        <v>3920036</v>
      </c>
      <c r="E46" s="20">
        <v>3526</v>
      </c>
      <c r="F46" s="20">
        <v>23296</v>
      </c>
      <c r="G46" s="20">
        <v>26822</v>
      </c>
      <c r="H46" s="20">
        <v>3946858</v>
      </c>
      <c r="I46" s="20">
        <v>8426867</v>
      </c>
    </row>
    <row r="47" spans="1:9" ht="12" customHeight="1">
      <c r="A47" s="19" t="s">
        <v>163</v>
      </c>
      <c r="B47" s="20">
        <v>3756942</v>
      </c>
      <c r="C47" s="20">
        <v>484841</v>
      </c>
      <c r="D47" s="20">
        <v>4241783</v>
      </c>
      <c r="E47" s="20">
        <v>3528</v>
      </c>
      <c r="F47" s="20">
        <v>23578</v>
      </c>
      <c r="G47" s="20">
        <v>27106</v>
      </c>
      <c r="H47" s="20">
        <v>4268889</v>
      </c>
      <c r="I47" s="20">
        <v>9662752</v>
      </c>
    </row>
    <row r="48" spans="1:9" ht="12" customHeight="1">
      <c r="A48" s="19">
        <v>2</v>
      </c>
      <c r="B48" s="20">
        <v>4572019</v>
      </c>
      <c r="C48" s="20">
        <v>125028</v>
      </c>
      <c r="D48" s="20">
        <v>4697047</v>
      </c>
      <c r="E48" s="20">
        <v>3890</v>
      </c>
      <c r="F48" s="20">
        <v>26180</v>
      </c>
      <c r="G48" s="20">
        <v>30070</v>
      </c>
      <c r="H48" s="20">
        <v>4727117</v>
      </c>
      <c r="I48" s="20">
        <v>10997431</v>
      </c>
    </row>
    <row r="49" spans="1:9" ht="12" customHeight="1">
      <c r="A49" s="19">
        <v>3</v>
      </c>
      <c r="B49" s="20">
        <v>4436580</v>
      </c>
      <c r="C49" s="20">
        <v>1384</v>
      </c>
      <c r="D49" s="20">
        <v>4437964</v>
      </c>
      <c r="E49" s="20">
        <v>3873</v>
      </c>
      <c r="F49" s="20">
        <v>26647</v>
      </c>
      <c r="G49" s="20">
        <v>30520</v>
      </c>
      <c r="H49" s="20">
        <v>4468484</v>
      </c>
      <c r="I49" s="20">
        <v>10633777</v>
      </c>
    </row>
    <row r="50" spans="1:9" ht="12" customHeight="1">
      <c r="A50" s="19">
        <v>4</v>
      </c>
      <c r="B50" s="20">
        <v>4675900</v>
      </c>
      <c r="C50" s="20">
        <v>1120</v>
      </c>
      <c r="D50" s="20">
        <v>4677020</v>
      </c>
      <c r="E50" s="20">
        <v>3655</v>
      </c>
      <c r="F50" s="20">
        <v>31038</v>
      </c>
      <c r="G50" s="20">
        <v>34693</v>
      </c>
      <c r="H50" s="20">
        <v>4711713</v>
      </c>
      <c r="I50" s="20">
        <v>11790699</v>
      </c>
    </row>
    <row r="51" spans="1:9" ht="12" customHeight="1">
      <c r="A51" s="19">
        <v>5</v>
      </c>
      <c r="B51" s="20">
        <v>4662243</v>
      </c>
      <c r="C51" s="20">
        <v>1129</v>
      </c>
      <c r="D51" s="20">
        <v>4663372</v>
      </c>
      <c r="E51" s="20">
        <v>3438</v>
      </c>
      <c r="F51" s="20">
        <v>35455</v>
      </c>
      <c r="G51" s="20">
        <v>38893</v>
      </c>
      <c r="H51" s="20">
        <v>4702265</v>
      </c>
      <c r="I51" s="20">
        <v>11933620</v>
      </c>
    </row>
    <row r="52" spans="1:9" ht="12" customHeight="1">
      <c r="A52" s="19">
        <v>6</v>
      </c>
      <c r="B52" s="20">
        <v>5209666</v>
      </c>
      <c r="C52" s="20">
        <v>1061</v>
      </c>
      <c r="D52" s="20">
        <v>5210727</v>
      </c>
      <c r="E52" s="20">
        <v>3619</v>
      </c>
      <c r="F52" s="20">
        <v>34601</v>
      </c>
      <c r="G52" s="20">
        <v>38220</v>
      </c>
      <c r="H52" s="20">
        <v>5248947</v>
      </c>
      <c r="I52" s="20">
        <v>13578934</v>
      </c>
    </row>
    <row r="53" spans="1:9" ht="12" customHeight="1">
      <c r="A53" s="19">
        <v>7</v>
      </c>
      <c r="B53" s="20">
        <v>5824368</v>
      </c>
      <c r="C53" s="20">
        <v>1036</v>
      </c>
      <c r="D53" s="20">
        <v>5825404</v>
      </c>
      <c r="E53" s="20">
        <v>3230</v>
      </c>
      <c r="F53" s="20">
        <v>37277</v>
      </c>
      <c r="G53" s="20">
        <v>40507</v>
      </c>
      <c r="H53" s="20">
        <v>5865911</v>
      </c>
      <c r="I53" s="20">
        <v>15298125</v>
      </c>
    </row>
    <row r="54" spans="1:9" ht="12" customHeight="1">
      <c r="A54" s="19">
        <v>8</v>
      </c>
      <c r="B54" s="20">
        <v>6235335</v>
      </c>
      <c r="C54" s="20">
        <v>1103</v>
      </c>
      <c r="D54" s="20">
        <v>6236438</v>
      </c>
      <c r="E54" s="20">
        <v>3285</v>
      </c>
      <c r="F54" s="20">
        <v>39147</v>
      </c>
      <c r="G54" s="20">
        <v>42432</v>
      </c>
      <c r="H54" s="20">
        <v>6278870</v>
      </c>
      <c r="I54" s="20">
        <v>16694769</v>
      </c>
    </row>
    <row r="55" spans="1:9" ht="12" customHeight="1">
      <c r="A55" s="19">
        <v>9</v>
      </c>
      <c r="B55" s="20">
        <v>5810593</v>
      </c>
      <c r="C55" s="18">
        <v>933</v>
      </c>
      <c r="D55" s="20">
        <v>5811526</v>
      </c>
      <c r="E55" s="20">
        <v>3419</v>
      </c>
      <c r="F55" s="20">
        <v>37383</v>
      </c>
      <c r="G55" s="20">
        <v>40802</v>
      </c>
      <c r="H55" s="20">
        <v>5852328</v>
      </c>
      <c r="I55" s="20">
        <v>16802750</v>
      </c>
    </row>
    <row r="56" spans="1:9" ht="12" customHeight="1">
      <c r="A56" s="19">
        <v>10</v>
      </c>
      <c r="B56" s="20">
        <v>5371302</v>
      </c>
      <c r="C56" s="18">
        <v>970</v>
      </c>
      <c r="D56" s="20">
        <v>5372272</v>
      </c>
      <c r="E56" s="20">
        <v>3281</v>
      </c>
      <c r="F56" s="20">
        <v>37600</v>
      </c>
      <c r="G56" s="20">
        <v>40881</v>
      </c>
      <c r="H56" s="20">
        <v>5413153</v>
      </c>
      <c r="I56" s="20">
        <v>15806218</v>
      </c>
    </row>
    <row r="57" spans="1:9" ht="12" customHeight="1">
      <c r="A57" s="19">
        <v>11</v>
      </c>
      <c r="B57" s="20">
        <v>5610972</v>
      </c>
      <c r="C57" s="20">
        <v>1007</v>
      </c>
      <c r="D57" s="20">
        <v>5611979</v>
      </c>
      <c r="E57" s="20">
        <v>3365</v>
      </c>
      <c r="F57" s="20">
        <v>38559</v>
      </c>
      <c r="G57" s="20">
        <v>41924</v>
      </c>
      <c r="H57" s="20">
        <v>5653903</v>
      </c>
      <c r="I57" s="20">
        <v>16357572</v>
      </c>
    </row>
    <row r="58" spans="1:9" ht="12" customHeight="1">
      <c r="A58" s="19">
        <v>12</v>
      </c>
      <c r="B58" s="20">
        <v>5856845</v>
      </c>
      <c r="C58" s="18">
        <v>990</v>
      </c>
      <c r="D58" s="20">
        <v>5857835</v>
      </c>
      <c r="E58" s="20">
        <v>3329</v>
      </c>
      <c r="F58" s="20">
        <v>33695</v>
      </c>
      <c r="G58" s="20">
        <v>37024</v>
      </c>
      <c r="H58" s="20">
        <v>5894859</v>
      </c>
      <c r="I58" s="20">
        <v>17818590</v>
      </c>
    </row>
    <row r="59" spans="1:9" ht="12" customHeight="1">
      <c r="A59" s="19">
        <v>13</v>
      </c>
      <c r="B59" s="20">
        <v>4347846</v>
      </c>
      <c r="C59" s="20">
        <v>1035</v>
      </c>
      <c r="D59" s="20">
        <v>4348881</v>
      </c>
      <c r="E59" s="20">
        <v>3069</v>
      </c>
      <c r="F59" s="20">
        <v>29452</v>
      </c>
      <c r="G59" s="20">
        <v>32521</v>
      </c>
      <c r="H59" s="20">
        <v>4381402</v>
      </c>
      <c r="I59" s="20">
        <v>16215657</v>
      </c>
    </row>
    <row r="60" spans="1:9" ht="12" customHeight="1">
      <c r="A60" s="19">
        <v>14</v>
      </c>
      <c r="B60" s="20">
        <v>3748099</v>
      </c>
      <c r="C60" s="20">
        <v>1067</v>
      </c>
      <c r="D60" s="20">
        <v>3749166</v>
      </c>
      <c r="E60" s="20">
        <v>2992</v>
      </c>
      <c r="F60" s="20">
        <v>29666</v>
      </c>
      <c r="G60" s="20">
        <v>32658</v>
      </c>
      <c r="H60" s="20">
        <v>3781824</v>
      </c>
      <c r="I60" s="20">
        <v>16522804</v>
      </c>
    </row>
    <row r="61" spans="1:9" ht="12" customHeight="1">
      <c r="A61" s="19">
        <v>15</v>
      </c>
      <c r="B61" s="20">
        <v>2720176</v>
      </c>
      <c r="C61" s="18">
        <v>853</v>
      </c>
      <c r="D61" s="20">
        <v>2721029</v>
      </c>
      <c r="E61" s="20">
        <v>2907</v>
      </c>
      <c r="F61" s="20">
        <v>28603</v>
      </c>
      <c r="G61" s="20">
        <v>31510</v>
      </c>
      <c r="H61" s="20">
        <v>2752539</v>
      </c>
      <c r="I61" s="20">
        <v>13296330</v>
      </c>
    </row>
    <row r="62" spans="1:9" ht="12" customHeight="1">
      <c r="A62" s="19">
        <v>16</v>
      </c>
      <c r="B62" s="20">
        <v>3484310</v>
      </c>
      <c r="C62" s="20">
        <v>1015</v>
      </c>
      <c r="D62" s="20">
        <v>3485325</v>
      </c>
      <c r="E62" s="20">
        <v>2615</v>
      </c>
      <c r="F62" s="20">
        <v>29242</v>
      </c>
      <c r="G62" s="20">
        <v>31857</v>
      </c>
      <c r="H62" s="20">
        <v>3517182</v>
      </c>
      <c r="I62" s="20">
        <v>16831112</v>
      </c>
    </row>
    <row r="63" spans="1:9" ht="12" customHeight="1">
      <c r="A63" s="19">
        <v>17</v>
      </c>
      <c r="B63" s="20">
        <v>3611502</v>
      </c>
      <c r="C63" s="18">
        <v>971</v>
      </c>
      <c r="D63" s="20">
        <v>3612473</v>
      </c>
      <c r="E63" s="20">
        <v>2870</v>
      </c>
      <c r="F63" s="20">
        <v>27698</v>
      </c>
      <c r="G63" s="20">
        <v>30568</v>
      </c>
      <c r="H63" s="20">
        <v>3643041</v>
      </c>
      <c r="I63" s="20">
        <v>17403565</v>
      </c>
    </row>
    <row r="64" spans="1:9" ht="12" customHeight="1">
      <c r="A64" s="19">
        <v>18</v>
      </c>
      <c r="B64" s="20">
        <v>4301208</v>
      </c>
      <c r="C64" s="18">
        <v>983</v>
      </c>
      <c r="D64" s="20">
        <v>4302191</v>
      </c>
      <c r="E64" s="20">
        <v>2904</v>
      </c>
      <c r="F64" s="20">
        <v>26553</v>
      </c>
      <c r="G64" s="20">
        <v>29433</v>
      </c>
      <c r="H64" s="20">
        <v>4331624</v>
      </c>
      <c r="I64" s="20">
        <v>17534565</v>
      </c>
    </row>
    <row r="65" spans="1:9" ht="12" customHeight="1">
      <c r="A65" s="19">
        <v>19</v>
      </c>
      <c r="B65" s="20">
        <v>4208225</v>
      </c>
      <c r="C65" s="18">
        <v>872</v>
      </c>
      <c r="D65" s="20">
        <v>4209097</v>
      </c>
      <c r="E65" s="20">
        <v>2904</v>
      </c>
      <c r="F65" s="20">
        <v>24427</v>
      </c>
      <c r="G65" s="20">
        <v>27331</v>
      </c>
      <c r="H65" s="20">
        <v>4236428</v>
      </c>
      <c r="I65" s="20">
        <v>17294935</v>
      </c>
    </row>
    <row r="66" spans="1:9" ht="12" customHeight="1">
      <c r="A66" s="19">
        <v>20</v>
      </c>
      <c r="B66" s="20">
        <v>3800524</v>
      </c>
      <c r="C66" s="18">
        <v>861</v>
      </c>
      <c r="D66" s="20">
        <v>3801385</v>
      </c>
      <c r="E66" s="20">
        <v>2826</v>
      </c>
      <c r="F66" s="20">
        <v>25574</v>
      </c>
      <c r="G66" s="20">
        <v>28400</v>
      </c>
      <c r="H66" s="20">
        <v>3829785</v>
      </c>
      <c r="I66" s="20">
        <v>15987250</v>
      </c>
    </row>
    <row r="67" spans="1:9" ht="12" customHeight="1">
      <c r="A67" s="19">
        <v>21</v>
      </c>
      <c r="B67" s="20">
        <v>4014527</v>
      </c>
      <c r="C67" s="18">
        <v>943</v>
      </c>
      <c r="D67" s="20">
        <v>4015470</v>
      </c>
      <c r="E67" s="20">
        <v>2944</v>
      </c>
      <c r="F67" s="20">
        <v>24606</v>
      </c>
      <c r="G67" s="20">
        <v>27550</v>
      </c>
      <c r="H67" s="20">
        <v>4043020</v>
      </c>
      <c r="I67" s="20">
        <v>15445684</v>
      </c>
    </row>
    <row r="68" spans="1:9" ht="12" customHeight="1">
      <c r="A68" s="19">
        <v>22</v>
      </c>
      <c r="B68" s="20">
        <v>4184092</v>
      </c>
      <c r="C68" s="18">
        <v>988</v>
      </c>
      <c r="D68" s="20">
        <v>4185080</v>
      </c>
      <c r="E68" s="20">
        <v>2702</v>
      </c>
      <c r="F68" s="20">
        <v>25422</v>
      </c>
      <c r="G68" s="20">
        <v>28124</v>
      </c>
      <c r="H68" s="20">
        <v>4213204</v>
      </c>
      <c r="I68" s="20">
        <v>16637224</v>
      </c>
    </row>
    <row r="69" spans="1:9" ht="12" customHeight="1">
      <c r="A69" s="19">
        <v>23</v>
      </c>
      <c r="B69" s="187">
        <v>3961382</v>
      </c>
      <c r="C69" s="187"/>
      <c r="D69" s="20">
        <v>3961382</v>
      </c>
      <c r="E69" s="20">
        <v>2752</v>
      </c>
      <c r="F69" s="20">
        <v>23774</v>
      </c>
      <c r="G69" s="20">
        <v>26526</v>
      </c>
      <c r="H69" s="20">
        <v>3987908</v>
      </c>
      <c r="I69" s="20">
        <v>16994200</v>
      </c>
    </row>
    <row r="70" spans="1:9" ht="12" customHeight="1">
      <c r="A70" s="19">
        <v>24</v>
      </c>
      <c r="B70" s="187">
        <v>3924008</v>
      </c>
      <c r="C70" s="187"/>
      <c r="D70" s="20">
        <v>3924008</v>
      </c>
      <c r="E70" s="20">
        <v>2738</v>
      </c>
      <c r="F70" s="20">
        <v>24775</v>
      </c>
      <c r="G70" s="20">
        <v>27513</v>
      </c>
      <c r="H70" s="20">
        <v>3951521</v>
      </c>
      <c r="I70" s="26">
        <v>18490657</v>
      </c>
    </row>
    <row r="71" spans="1:9" ht="12" customHeight="1">
      <c r="A71" s="24">
        <v>25</v>
      </c>
      <c r="B71" s="189">
        <v>3296805</v>
      </c>
      <c r="C71" s="189"/>
      <c r="D71" s="25">
        <v>3296805</v>
      </c>
      <c r="E71" s="25">
        <v>2748</v>
      </c>
      <c r="F71" s="25">
        <v>24205</v>
      </c>
      <c r="G71" s="25">
        <f>E71+F71</f>
        <v>26953</v>
      </c>
      <c r="H71" s="25">
        <f>D71+G71</f>
        <v>3323758</v>
      </c>
      <c r="I71" s="25">
        <v>17472627</v>
      </c>
    </row>
    <row r="72" spans="1:9" ht="12" customHeight="1">
      <c r="A72" s="17"/>
      <c r="B72" s="17"/>
      <c r="C72" s="17"/>
      <c r="D72" s="17"/>
      <c r="E72" s="17"/>
      <c r="F72" s="17"/>
      <c r="G72" s="188" t="s">
        <v>165</v>
      </c>
      <c r="H72" s="188"/>
      <c r="I72" s="188"/>
    </row>
  </sheetData>
  <mergeCells count="10">
    <mergeCell ref="A1:I1"/>
    <mergeCell ref="B69:C69"/>
    <mergeCell ref="B70:C70"/>
    <mergeCell ref="G72:I72"/>
    <mergeCell ref="B71:C71"/>
    <mergeCell ref="A2:A3"/>
    <mergeCell ref="B2:D2"/>
    <mergeCell ref="E2:G2"/>
    <mergeCell ref="H2:H3"/>
    <mergeCell ref="I2:I3"/>
  </mergeCells>
  <phoneticPr fontId="5"/>
  <printOptions horizontalCentered="1"/>
  <pageMargins left="0.70866141732283472" right="0.7086614173228347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２．月別・種類別発行数</vt:lpstr>
      <vt:lpstr>３．年代別・性別発行数</vt:lpstr>
      <vt:lpstr>４．年代別・月別発行数</vt:lpstr>
      <vt:lpstr>５．性別・月別発行数</vt:lpstr>
      <vt:lpstr>６．月別・都道府県別発行数</vt:lpstr>
      <vt:lpstr>７．一般旅券発行数</vt:lpstr>
      <vt:lpstr>８．年代別・都道府県別発行数</vt:lpstr>
      <vt:lpstr>９．有効旅券数</vt:lpstr>
      <vt:lpstr>１０．旅券発行数及び海外旅行者数</vt:lpstr>
      <vt:lpstr>１１．紛失・盗難件数</vt:lpstr>
      <vt:lpstr>１２．不正使用件数</vt:lpstr>
      <vt:lpstr>一般旅券発行数の推移</vt:lpstr>
      <vt:lpstr>一般旅券紛失・盗難件数</vt:lpstr>
      <vt:lpstr>一般旅券発行数の推移!Print_Area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2015-05-12T01:11:29Z</cp:lastPrinted>
  <dcterms:created xsi:type="dcterms:W3CDTF">2014-01-22T06:51:49Z</dcterms:created>
  <dcterms:modified xsi:type="dcterms:W3CDTF">2015-06-02T01:16:48Z</dcterms:modified>
</cp:coreProperties>
</file>