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00" windowWidth="17955" windowHeight="11115" firstSheet="1" activeTab="1"/>
  </bookViews>
  <sheets>
    <sheet name="別添３（随契（物品役務・公共工事）） FU" sheetId="1" state="hidden" r:id="rId1"/>
    <sheet name="清書公表版（別添３）今回確認作業台（24年度締結分" sheetId="4" r:id="rId2"/>
    <sheet name="Sheet1" sheetId="3" r:id="rId3"/>
  </sheets>
  <externalReferences>
    <externalReference r:id="rId4"/>
    <externalReference r:id="rId5"/>
    <externalReference r:id="rId6"/>
  </externalReferences>
  <definedNames>
    <definedName name="_xlnm._FilterDatabase" localSheetId="0" hidden="1">'別添３（随契（物品役務・公共工事）） FU'!$A$86:$BB$631</definedName>
    <definedName name="_xlnm.Print_Area" localSheetId="1">'清書公表版（別添３）今回確認作業台（24年度締結分'!$B$1:$N$41</definedName>
    <definedName name="_xlnm.Print_Area" localSheetId="0">'別添３（随契（物品役務・公共工事）） FU'!$B$1:$AU$628</definedName>
    <definedName name="_xlnm.Print_Titles" localSheetId="1">'清書公表版（別添３）今回確認作業台（24年度締結分'!$6:$6</definedName>
    <definedName name="_xlnm.Print_Titles" localSheetId="0">'別添３（随契（物品役務・公共工事）） FU'!$77:$77</definedName>
    <definedName name="政府調達" localSheetId="0">'別添３（随契（物品役務・公共工事）） FU'!$AD$78:$AD$80</definedName>
    <definedName name="政府調達">'[1]随契（物品役務・公共工事））'!$AP$5:$AP$7</definedName>
    <definedName name="政府調達１">'[1]随契（秘契約）'!$AJ$4:$AJ$6</definedName>
  </definedNames>
  <calcPr calcId="125725"/>
</workbook>
</file>

<file path=xl/calcChain.xml><?xml version="1.0" encoding="utf-8"?>
<calcChain xmlns="http://schemas.openxmlformats.org/spreadsheetml/2006/main">
  <c r="J22" i="4"/>
  <c r="AL599" i="1" l="1"/>
  <c r="AM599"/>
  <c r="AN599"/>
  <c r="AO599"/>
  <c r="AP599"/>
  <c r="AQ599"/>
  <c r="AR599"/>
  <c r="AT599"/>
  <c r="AU599"/>
  <c r="AL597"/>
  <c r="AM597"/>
  <c r="AO597"/>
  <c r="AP597"/>
  <c r="AQ597"/>
  <c r="AR597"/>
  <c r="AT597"/>
  <c r="AU597"/>
  <c r="AL595"/>
  <c r="AM595"/>
  <c r="AO595"/>
  <c r="AP595"/>
  <c r="AQ595"/>
  <c r="AR595"/>
  <c r="AT595"/>
  <c r="AU595"/>
  <c r="Z575"/>
  <c r="AL575"/>
  <c r="AM575"/>
  <c r="AO575"/>
  <c r="AP575"/>
  <c r="AQ575"/>
  <c r="AR575"/>
  <c r="AT575"/>
  <c r="AU575"/>
  <c r="Z571"/>
  <c r="AL571"/>
  <c r="AM571"/>
  <c r="AN571"/>
  <c r="AO571"/>
  <c r="AP571"/>
  <c r="AQ571"/>
  <c r="AR571"/>
  <c r="AT571"/>
  <c r="AU571"/>
  <c r="Z567"/>
  <c r="AL567"/>
  <c r="AM567"/>
  <c r="AO567"/>
  <c r="AP567"/>
  <c r="AQ567"/>
  <c r="AR567"/>
  <c r="AT567"/>
  <c r="AU567"/>
  <c r="Z544"/>
  <c r="AL544"/>
  <c r="AM544"/>
  <c r="AO544"/>
  <c r="AP544"/>
  <c r="AQ544"/>
  <c r="AR544"/>
  <c r="AT544"/>
  <c r="AU544"/>
  <c r="Z533"/>
  <c r="AH533"/>
  <c r="AL533"/>
  <c r="AM533"/>
  <c r="AO533"/>
  <c r="AP533"/>
  <c r="AQ533"/>
  <c r="AR533"/>
  <c r="AT533"/>
  <c r="AU533"/>
  <c r="Z519"/>
  <c r="AH519"/>
  <c r="AL519"/>
  <c r="AM519"/>
  <c r="AO519"/>
  <c r="AP519"/>
  <c r="AQ519"/>
  <c r="AR519"/>
  <c r="AT519"/>
  <c r="AU519"/>
  <c r="Z511"/>
  <c r="AH511"/>
  <c r="AL511"/>
  <c r="AM511"/>
  <c r="AO511"/>
  <c r="AP511"/>
  <c r="AQ511"/>
  <c r="AR511"/>
  <c r="AT511"/>
  <c r="AU511"/>
  <c r="Z508"/>
  <c r="AH508"/>
  <c r="AL508"/>
  <c r="AM508"/>
  <c r="AO508"/>
  <c r="AP508"/>
  <c r="AQ508"/>
  <c r="AR508"/>
  <c r="AT508"/>
  <c r="AU508"/>
  <c r="AH475"/>
  <c r="AL475"/>
  <c r="AM475"/>
  <c r="AO475"/>
  <c r="AP475"/>
  <c r="AQ475"/>
  <c r="AR475"/>
  <c r="AT475"/>
  <c r="AU475"/>
  <c r="AH466"/>
  <c r="AL466"/>
  <c r="AM466"/>
  <c r="AO466"/>
  <c r="AP466"/>
  <c r="AQ466"/>
  <c r="AR466"/>
  <c r="AT466"/>
  <c r="AU466"/>
  <c r="AH467"/>
  <c r="AL467"/>
  <c r="AM467"/>
  <c r="AO467"/>
  <c r="AP467"/>
  <c r="AQ467"/>
  <c r="AR467"/>
  <c r="AT467"/>
  <c r="AU467"/>
  <c r="AH468"/>
  <c r="AL468"/>
  <c r="AM468"/>
  <c r="AO468"/>
  <c r="AP468"/>
  <c r="AQ468"/>
  <c r="AR468"/>
  <c r="AT468"/>
  <c r="AU468"/>
  <c r="AH469"/>
  <c r="AL469"/>
  <c r="AM469"/>
  <c r="AO469"/>
  <c r="AP469"/>
  <c r="AQ469"/>
  <c r="AR469"/>
  <c r="AT469"/>
  <c r="AU469"/>
  <c r="AH459"/>
  <c r="AL459"/>
  <c r="AM459"/>
  <c r="AO459"/>
  <c r="AP459"/>
  <c r="AQ459"/>
  <c r="AR459"/>
  <c r="AT459"/>
  <c r="AU459"/>
  <c r="AH460"/>
  <c r="AL460"/>
  <c r="AM460"/>
  <c r="AO460"/>
  <c r="AP460"/>
  <c r="AQ460"/>
  <c r="AR460"/>
  <c r="AT460"/>
  <c r="AU460"/>
  <c r="AH452"/>
  <c r="AL452"/>
  <c r="AM452"/>
  <c r="AN452"/>
  <c r="AO452"/>
  <c r="AP452"/>
  <c r="AQ452"/>
  <c r="AR452"/>
  <c r="AT452"/>
  <c r="AU452"/>
  <c r="AH449"/>
  <c r="AL449"/>
  <c r="AM449"/>
  <c r="AN449"/>
  <c r="AO449"/>
  <c r="AP449"/>
  <c r="AQ449"/>
  <c r="AR449"/>
  <c r="AT449"/>
  <c r="AU449"/>
  <c r="AH441"/>
  <c r="AL441"/>
  <c r="AM441"/>
  <c r="AN441"/>
  <c r="AO441"/>
  <c r="AP441"/>
  <c r="AQ441"/>
  <c r="AR441"/>
  <c r="AT441"/>
  <c r="AU441"/>
  <c r="Z424"/>
  <c r="AL424"/>
  <c r="AM424"/>
  <c r="AO424"/>
  <c r="AP424"/>
  <c r="AQ424"/>
  <c r="AR424"/>
  <c r="AT424"/>
  <c r="AU424"/>
  <c r="E411"/>
  <c r="Z411"/>
  <c r="AL411"/>
  <c r="AM411"/>
  <c r="AN411"/>
  <c r="AO411"/>
  <c r="AP411"/>
  <c r="AQ411"/>
  <c r="AR411"/>
  <c r="AT411"/>
  <c r="AU411"/>
  <c r="E412"/>
  <c r="E413" s="1"/>
  <c r="E414" s="1"/>
  <c r="E415" s="1"/>
  <c r="E416" s="1"/>
  <c r="E417" s="1"/>
  <c r="E418" s="1"/>
  <c r="E419" s="1"/>
  <c r="E420" s="1"/>
  <c r="E421" s="1"/>
  <c r="E422" s="1"/>
  <c r="E423" s="1"/>
  <c r="E424" s="1"/>
  <c r="E425" s="1"/>
  <c r="E426" s="1"/>
  <c r="E427" s="1"/>
  <c r="E428" s="1"/>
  <c r="E429" s="1"/>
  <c r="E430" s="1"/>
  <c r="E431" s="1"/>
  <c r="E432" s="1"/>
  <c r="E433" s="1"/>
  <c r="E434" s="1"/>
  <c r="E435" s="1"/>
  <c r="E436" s="1"/>
  <c r="E437" s="1"/>
  <c r="E438" s="1"/>
  <c r="E439" s="1"/>
  <c r="E440" s="1"/>
  <c r="E441" s="1"/>
  <c r="E442" s="1"/>
  <c r="E443" s="1"/>
  <c r="E444" s="1"/>
  <c r="E445" s="1"/>
  <c r="E446" s="1"/>
  <c r="E447" s="1"/>
  <c r="E448" s="1"/>
  <c r="E449" s="1"/>
  <c r="E450" s="1"/>
  <c r="E451" s="1"/>
  <c r="E452" s="1"/>
  <c r="E453" s="1"/>
  <c r="E454" s="1"/>
  <c r="E455" s="1"/>
  <c r="E456" s="1"/>
  <c r="E457" s="1"/>
  <c r="E458" s="1"/>
  <c r="E459" s="1"/>
  <c r="E460" s="1"/>
  <c r="E461" s="1"/>
  <c r="E462" s="1"/>
  <c r="E463" s="1"/>
  <c r="E464" s="1"/>
  <c r="E465" s="1"/>
  <c r="E466" s="1"/>
  <c r="E467" s="1"/>
  <c r="E468" s="1"/>
  <c r="E469" s="1"/>
  <c r="E470" s="1"/>
  <c r="E471" s="1"/>
  <c r="E472" s="1"/>
  <c r="E473" s="1"/>
  <c r="E474" s="1"/>
  <c r="E475" s="1"/>
  <c r="E476" s="1"/>
  <c r="E477" s="1"/>
  <c r="E478" s="1"/>
  <c r="E479" s="1"/>
  <c r="E480" s="1"/>
  <c r="E481" s="1"/>
  <c r="E482" s="1"/>
  <c r="E483" s="1"/>
  <c r="E484" s="1"/>
  <c r="E485" s="1"/>
  <c r="E486" s="1"/>
  <c r="E487" s="1"/>
  <c r="E488" s="1"/>
  <c r="E489" s="1"/>
  <c r="E490" s="1"/>
  <c r="E491" s="1"/>
  <c r="E492" s="1"/>
  <c r="E493" s="1"/>
  <c r="E494" s="1"/>
  <c r="E495" s="1"/>
  <c r="E496" s="1"/>
  <c r="E497" s="1"/>
  <c r="E498" s="1"/>
  <c r="E499" s="1"/>
  <c r="E500" s="1"/>
  <c r="E501" s="1"/>
  <c r="E502" s="1"/>
  <c r="E503" s="1"/>
  <c r="E504" s="1"/>
  <c r="E505" s="1"/>
  <c r="E506" s="1"/>
  <c r="E507" s="1"/>
  <c r="E508" s="1"/>
  <c r="E509" s="1"/>
  <c r="E510" s="1"/>
  <c r="E511" s="1"/>
  <c r="E512" s="1"/>
  <c r="E513" s="1"/>
  <c r="E514" s="1"/>
  <c r="E515" s="1"/>
  <c r="E516" s="1"/>
  <c r="E517" s="1"/>
  <c r="E518" s="1"/>
  <c r="E519" s="1"/>
  <c r="E520" s="1"/>
  <c r="E521" s="1"/>
  <c r="E522" s="1"/>
  <c r="E523" s="1"/>
  <c r="E524" s="1"/>
  <c r="E525" s="1"/>
  <c r="E526" s="1"/>
  <c r="E527" s="1"/>
  <c r="E528" s="1"/>
  <c r="E529" s="1"/>
  <c r="E530" s="1"/>
  <c r="E531" s="1"/>
  <c r="E532" s="1"/>
  <c r="E533" s="1"/>
  <c r="E534" s="1"/>
  <c r="E535" s="1"/>
  <c r="E536" s="1"/>
  <c r="E537" s="1"/>
  <c r="E538" s="1"/>
  <c r="E539" s="1"/>
  <c r="E540" s="1"/>
  <c r="E541" s="1"/>
  <c r="E542" s="1"/>
  <c r="E543" s="1"/>
  <c r="E544" s="1"/>
  <c r="E545" s="1"/>
  <c r="E546" s="1"/>
  <c r="E547" s="1"/>
  <c r="E548" s="1"/>
  <c r="E549" s="1"/>
  <c r="E550" s="1"/>
  <c r="E551" s="1"/>
  <c r="E552" s="1"/>
  <c r="E553" s="1"/>
  <c r="E554" s="1"/>
  <c r="E555" s="1"/>
  <c r="E556" s="1"/>
  <c r="E557" s="1"/>
  <c r="E558" s="1"/>
  <c r="E559" s="1"/>
  <c r="E560" s="1"/>
  <c r="E561" s="1"/>
  <c r="E562" s="1"/>
  <c r="E563" s="1"/>
  <c r="E564" s="1"/>
  <c r="E565" s="1"/>
  <c r="E566" s="1"/>
  <c r="E567" s="1"/>
  <c r="E568" s="1"/>
  <c r="E569" s="1"/>
  <c r="E570" s="1"/>
  <c r="E571" s="1"/>
  <c r="E572" s="1"/>
  <c r="E573" s="1"/>
  <c r="E574" s="1"/>
  <c r="E575" s="1"/>
  <c r="E576" s="1"/>
  <c r="E577" s="1"/>
  <c r="E578" s="1"/>
  <c r="E579" s="1"/>
  <c r="E580" s="1"/>
  <c r="E581" s="1"/>
  <c r="E582" s="1"/>
  <c r="E583" s="1"/>
  <c r="E584" s="1"/>
  <c r="E585" s="1"/>
  <c r="E586" s="1"/>
  <c r="E587" s="1"/>
  <c r="E588" s="1"/>
  <c r="E589" s="1"/>
  <c r="E590" s="1"/>
  <c r="E591" s="1"/>
  <c r="E592" s="1"/>
  <c r="E593" s="1"/>
  <c r="E594" s="1"/>
  <c r="E595" s="1"/>
  <c r="E596" s="1"/>
  <c r="E597" s="1"/>
  <c r="E598" s="1"/>
  <c r="E599" s="1"/>
  <c r="E600" s="1"/>
  <c r="E601" s="1"/>
  <c r="E602" s="1"/>
  <c r="E603" s="1"/>
  <c r="E604" s="1"/>
  <c r="E605" s="1"/>
  <c r="Z412"/>
  <c r="AL412"/>
  <c r="AM412"/>
  <c r="AN412"/>
  <c r="AO412"/>
  <c r="AP412"/>
  <c r="AQ412"/>
  <c r="AR412"/>
  <c r="AT412"/>
  <c r="AU412"/>
  <c r="Z413"/>
  <c r="AL413"/>
  <c r="AM413"/>
  <c r="AN413"/>
  <c r="AO413"/>
  <c r="AP413"/>
  <c r="AQ413"/>
  <c r="AR413"/>
  <c r="AT413"/>
  <c r="AU413"/>
  <c r="E405"/>
  <c r="Z405"/>
  <c r="AL405"/>
  <c r="AM405"/>
  <c r="AO405"/>
  <c r="AP405"/>
  <c r="AQ405"/>
  <c r="AR405"/>
  <c r="AT405"/>
  <c r="AU405"/>
  <c r="E396"/>
  <c r="F396"/>
  <c r="Z396"/>
  <c r="AL396"/>
  <c r="AM396"/>
  <c r="AO396"/>
  <c r="AP396"/>
  <c r="AQ396"/>
  <c r="AR396"/>
  <c r="AT396"/>
  <c r="AU396"/>
  <c r="E385"/>
  <c r="F385"/>
  <c r="Z385"/>
  <c r="AL385"/>
  <c r="AM385"/>
  <c r="AN385"/>
  <c r="AO385"/>
  <c r="AP385"/>
  <c r="AQ385"/>
  <c r="AR385"/>
  <c r="AT385"/>
  <c r="AU385"/>
  <c r="E362"/>
  <c r="Z362"/>
  <c r="AL362"/>
  <c r="AM362"/>
  <c r="AN362"/>
  <c r="AO362"/>
  <c r="AP362"/>
  <c r="AQ362"/>
  <c r="AR362"/>
  <c r="AT362"/>
  <c r="AU362"/>
  <c r="E363"/>
  <c r="Z363"/>
  <c r="AL363"/>
  <c r="AM363"/>
  <c r="AN363"/>
  <c r="AO363"/>
  <c r="AP363"/>
  <c r="AQ363"/>
  <c r="AR363"/>
  <c r="AT363"/>
  <c r="AU363"/>
  <c r="E364"/>
  <c r="Z364"/>
  <c r="AL364"/>
  <c r="AM364"/>
  <c r="AN364"/>
  <c r="AO364"/>
  <c r="AP364"/>
  <c r="AQ364"/>
  <c r="AR364"/>
  <c r="AT364"/>
  <c r="AU364"/>
  <c r="E360"/>
  <c r="Z360"/>
  <c r="AL360"/>
  <c r="AM360"/>
  <c r="AO360"/>
  <c r="AP360"/>
  <c r="AQ360"/>
  <c r="AR360"/>
  <c r="AT360"/>
  <c r="AU360"/>
  <c r="E346"/>
  <c r="Z346"/>
  <c r="AL346"/>
  <c r="AM346"/>
  <c r="AN346"/>
  <c r="AO346"/>
  <c r="AP346"/>
  <c r="AQ346"/>
  <c r="AR346"/>
  <c r="AT346"/>
  <c r="AU346"/>
  <c r="E344"/>
  <c r="Z344"/>
  <c r="AL344"/>
  <c r="AM344"/>
  <c r="AN344"/>
  <c r="AO344"/>
  <c r="AP344"/>
  <c r="AQ344"/>
  <c r="AR344"/>
  <c r="AT344"/>
  <c r="AU344"/>
  <c r="E338"/>
  <c r="Z338"/>
  <c r="AL338"/>
  <c r="AM338"/>
  <c r="AN338"/>
  <c r="AO338"/>
  <c r="AP338"/>
  <c r="AQ338"/>
  <c r="AR338"/>
  <c r="AT338"/>
  <c r="AU338"/>
  <c r="E339"/>
  <c r="Z339"/>
  <c r="AL339"/>
  <c r="AM339"/>
  <c r="AN339"/>
  <c r="AO339"/>
  <c r="AP339"/>
  <c r="AQ339"/>
  <c r="AR339"/>
  <c r="AT339"/>
  <c r="AU339"/>
  <c r="E340"/>
  <c r="Z340"/>
  <c r="AL340"/>
  <c r="AM340"/>
  <c r="AN340"/>
  <c r="AO340"/>
  <c r="AP340"/>
  <c r="AQ340"/>
  <c r="AR340"/>
  <c r="AT340"/>
  <c r="AU340"/>
  <c r="E332"/>
  <c r="Z332"/>
  <c r="AL332"/>
  <c r="AM332"/>
  <c r="AO332"/>
  <c r="AP332"/>
  <c r="AQ332"/>
  <c r="AR332"/>
  <c r="AT332"/>
  <c r="AU332"/>
  <c r="E325"/>
  <c r="Z325"/>
  <c r="AL325"/>
  <c r="AM325"/>
  <c r="AN325"/>
  <c r="AO325"/>
  <c r="AP325"/>
  <c r="AQ325"/>
  <c r="AR325"/>
  <c r="AT325"/>
  <c r="AU325"/>
  <c r="E322"/>
  <c r="Z322"/>
  <c r="AL322"/>
  <c r="AM322"/>
  <c r="AN322"/>
  <c r="AO322"/>
  <c r="AP322"/>
  <c r="AQ322"/>
  <c r="AR322"/>
  <c r="AT322"/>
  <c r="AU322"/>
  <c r="E316"/>
  <c r="Z316"/>
  <c r="AL316"/>
  <c r="AM316"/>
  <c r="AN316"/>
  <c r="AO316"/>
  <c r="AP316"/>
  <c r="AQ316"/>
  <c r="AR316"/>
  <c r="AT316"/>
  <c r="AU316"/>
  <c r="E317"/>
  <c r="Z317"/>
  <c r="AL317"/>
  <c r="AM317"/>
  <c r="AN317"/>
  <c r="AO317"/>
  <c r="AP317"/>
  <c r="AQ317"/>
  <c r="AR317"/>
  <c r="AT317"/>
  <c r="AU317"/>
  <c r="E318"/>
  <c r="Z318"/>
  <c r="AL318"/>
  <c r="AM318"/>
  <c r="AN318"/>
  <c r="AO318"/>
  <c r="AP318"/>
  <c r="AQ318"/>
  <c r="AR318"/>
  <c r="AT318"/>
  <c r="AU318"/>
  <c r="E319"/>
  <c r="Z319"/>
  <c r="AL319"/>
  <c r="AM319"/>
  <c r="AO319"/>
  <c r="AP319"/>
  <c r="AQ319"/>
  <c r="AR319"/>
  <c r="AT319"/>
  <c r="AU319"/>
  <c r="E281"/>
  <c r="Z281"/>
  <c r="AL281"/>
  <c r="AM281"/>
  <c r="AO281"/>
  <c r="AP281"/>
  <c r="AQ281"/>
  <c r="AR281"/>
  <c r="AT281"/>
  <c r="AU281"/>
  <c r="E279"/>
  <c r="Z279"/>
  <c r="AL279"/>
  <c r="AM279"/>
  <c r="AN279"/>
  <c r="AO279"/>
  <c r="AP279"/>
  <c r="AQ279"/>
  <c r="AR279"/>
  <c r="AT279"/>
  <c r="AU279"/>
  <c r="Z263"/>
  <c r="AL263"/>
  <c r="AM263"/>
  <c r="AN263"/>
  <c r="AO263"/>
  <c r="AP263"/>
  <c r="AQ263"/>
  <c r="AR263"/>
  <c r="AT263"/>
  <c r="AU263"/>
  <c r="AL244"/>
  <c r="AM244"/>
  <c r="AN244"/>
  <c r="AO244"/>
  <c r="AP244"/>
  <c r="AQ244"/>
  <c r="AR244"/>
  <c r="AT244"/>
  <c r="AU244"/>
  <c r="AL228"/>
  <c r="AM228"/>
  <c r="AN228"/>
  <c r="AO228"/>
  <c r="AP228"/>
  <c r="AQ228"/>
  <c r="AR228"/>
  <c r="AT228"/>
  <c r="AU228"/>
  <c r="AL223"/>
  <c r="AM223"/>
  <c r="AN223"/>
  <c r="AO223"/>
  <c r="AP223"/>
  <c r="AQ223"/>
  <c r="AR223"/>
  <c r="AT223"/>
  <c r="AU223"/>
  <c r="AL206"/>
  <c r="AM206"/>
  <c r="AN206"/>
  <c r="AO206"/>
  <c r="AP206"/>
  <c r="AQ206"/>
  <c r="AR206"/>
  <c r="AT206"/>
  <c r="AU206"/>
  <c r="AL207"/>
  <c r="AM207"/>
  <c r="AN207"/>
  <c r="AO207"/>
  <c r="AP207"/>
  <c r="AQ207"/>
  <c r="AR207"/>
  <c r="AT207"/>
  <c r="AU207"/>
  <c r="AL200"/>
  <c r="AM200"/>
  <c r="AN200"/>
  <c r="AO200"/>
  <c r="AP200"/>
  <c r="AQ200"/>
  <c r="AR200"/>
  <c r="AT200"/>
  <c r="AU200"/>
  <c r="AL192"/>
  <c r="AM192"/>
  <c r="AN192"/>
  <c r="AO192"/>
  <c r="AP192"/>
  <c r="AQ192"/>
  <c r="AR192"/>
  <c r="AT192"/>
  <c r="AU192"/>
  <c r="AL188"/>
  <c r="AM188"/>
  <c r="AN188"/>
  <c r="AO188"/>
  <c r="AP188"/>
  <c r="AQ188"/>
  <c r="AR188"/>
  <c r="AT188"/>
  <c r="AU188"/>
  <c r="AL184"/>
  <c r="AM184"/>
  <c r="AN184"/>
  <c r="AO184"/>
  <c r="AP184"/>
  <c r="AQ184"/>
  <c r="AR184"/>
  <c r="AT184"/>
  <c r="AU184"/>
  <c r="AL180"/>
  <c r="AM180"/>
  <c r="AN180"/>
  <c r="AO180"/>
  <c r="AP180"/>
  <c r="AQ180"/>
  <c r="AR180"/>
  <c r="AT180"/>
  <c r="AU180"/>
  <c r="AL177"/>
  <c r="AM177"/>
  <c r="AN177"/>
  <c r="AO177"/>
  <c r="AP177"/>
  <c r="AQ177"/>
  <c r="AR177"/>
  <c r="AT177"/>
  <c r="AU177"/>
  <c r="AL175"/>
  <c r="AM175"/>
  <c r="AN175"/>
  <c r="AO175"/>
  <c r="AP175"/>
  <c r="AQ175"/>
  <c r="AR175"/>
  <c r="AT175"/>
  <c r="AU175"/>
  <c r="AL168"/>
  <c r="AM168"/>
  <c r="AN168"/>
  <c r="AO168"/>
  <c r="AP168"/>
  <c r="AQ168"/>
  <c r="AR168"/>
  <c r="AT168"/>
  <c r="AU168"/>
  <c r="AL164"/>
  <c r="AM164"/>
  <c r="AN164"/>
  <c r="AO164"/>
  <c r="AP164"/>
  <c r="AQ164"/>
  <c r="AR164"/>
  <c r="AT164"/>
  <c r="AU164"/>
  <c r="AL152"/>
  <c r="AM152"/>
  <c r="AN152"/>
  <c r="AO152"/>
  <c r="AP152"/>
  <c r="AQ152"/>
  <c r="AR152"/>
  <c r="AT152"/>
  <c r="AU152"/>
  <c r="AL153"/>
  <c r="AM153"/>
  <c r="AN153"/>
  <c r="AO153"/>
  <c r="AP153"/>
  <c r="AQ153"/>
  <c r="AR153"/>
  <c r="AT153"/>
  <c r="AU153"/>
  <c r="AL137"/>
  <c r="AM137"/>
  <c r="AN137"/>
  <c r="AO137"/>
  <c r="AP137"/>
  <c r="AQ137"/>
  <c r="AR137"/>
  <c r="AT137"/>
  <c r="AU137"/>
  <c r="AL118"/>
  <c r="AM118"/>
  <c r="AN118"/>
  <c r="AO118"/>
  <c r="AP118"/>
  <c r="AQ118"/>
  <c r="AR118"/>
  <c r="AT118"/>
  <c r="AU118"/>
  <c r="E88"/>
  <c r="E89" s="1"/>
  <c r="E90" s="1"/>
  <c r="E91" s="1"/>
  <c r="E92" s="1"/>
  <c r="E93" s="1"/>
  <c r="E94" s="1"/>
  <c r="E95" s="1"/>
  <c r="E96" s="1"/>
  <c r="E97" s="1"/>
  <c r="E98" s="1"/>
  <c r="E99" s="1"/>
  <c r="E100" s="1"/>
  <c r="E101" s="1"/>
  <c r="E102" s="1"/>
  <c r="E103" s="1"/>
  <c r="E104" s="1"/>
  <c r="E105" s="1"/>
  <c r="E106" s="1"/>
  <c r="E107" s="1"/>
  <c r="E108" s="1"/>
  <c r="E109" s="1"/>
  <c r="E110" s="1"/>
  <c r="E111" s="1"/>
  <c r="E112" s="1"/>
  <c r="E113" s="1"/>
  <c r="E114" s="1"/>
  <c r="E115" s="1"/>
  <c r="E116" s="1"/>
  <c r="E117" s="1"/>
  <c r="E118" s="1"/>
  <c r="E119" s="1"/>
  <c r="E120" s="1"/>
  <c r="E121" s="1"/>
  <c r="E122" s="1"/>
  <c r="E123" s="1"/>
  <c r="E124" s="1"/>
  <c r="E125" s="1"/>
  <c r="E126" s="1"/>
  <c r="E127" s="1"/>
  <c r="E128" s="1"/>
  <c r="E129" s="1"/>
  <c r="E130" s="1"/>
  <c r="E131" s="1"/>
  <c r="E132" s="1"/>
  <c r="E133" s="1"/>
  <c r="E134" s="1"/>
  <c r="E135" s="1"/>
  <c r="E136" s="1"/>
  <c r="E137" s="1"/>
  <c r="E138" s="1"/>
  <c r="E139" s="1"/>
  <c r="E140" s="1"/>
  <c r="E141" s="1"/>
  <c r="E142" s="1"/>
  <c r="E143" s="1"/>
  <c r="E144" s="1"/>
  <c r="E145" s="1"/>
  <c r="E146" s="1"/>
  <c r="E147" s="1"/>
  <c r="E148" s="1"/>
  <c r="E149" s="1"/>
  <c r="E150" s="1"/>
  <c r="E151" s="1"/>
  <c r="E152" s="1"/>
  <c r="E153" s="1"/>
  <c r="E154" s="1"/>
  <c r="E155" s="1"/>
  <c r="E156" s="1"/>
  <c r="E157" s="1"/>
  <c r="E158" s="1"/>
  <c r="E159" s="1"/>
  <c r="E160" s="1"/>
  <c r="E161" s="1"/>
  <c r="E162" s="1"/>
  <c r="E163" s="1"/>
  <c r="E164" s="1"/>
  <c r="E165" s="1"/>
  <c r="E166" s="1"/>
  <c r="E167" s="1"/>
  <c r="E168" s="1"/>
  <c r="E169" s="1"/>
  <c r="E170" s="1"/>
  <c r="E171" s="1"/>
  <c r="E172" s="1"/>
  <c r="E173" s="1"/>
  <c r="E174" s="1"/>
  <c r="E175" s="1"/>
  <c r="E176" s="1"/>
  <c r="E177" s="1"/>
  <c r="E178" s="1"/>
  <c r="E179" s="1"/>
  <c r="E180" s="1"/>
  <c r="E181" s="1"/>
  <c r="E182" s="1"/>
  <c r="E183" s="1"/>
  <c r="E184" s="1"/>
  <c r="E185" s="1"/>
  <c r="E186" s="1"/>
  <c r="E187" s="1"/>
  <c r="E188" s="1"/>
  <c r="E189" s="1"/>
  <c r="E190" s="1"/>
  <c r="E191" s="1"/>
  <c r="E192" s="1"/>
  <c r="E193" s="1"/>
  <c r="E194" s="1"/>
  <c r="E195" s="1"/>
  <c r="E196" s="1"/>
  <c r="E197" s="1"/>
  <c r="E198" s="1"/>
  <c r="E199" s="1"/>
  <c r="E200" s="1"/>
  <c r="E201" s="1"/>
  <c r="E202" s="1"/>
  <c r="E203" s="1"/>
  <c r="E204" s="1"/>
  <c r="E205" s="1"/>
  <c r="E206" s="1"/>
  <c r="E207" s="1"/>
  <c r="E208" s="1"/>
  <c r="E209" s="1"/>
  <c r="E210" s="1"/>
  <c r="E211" s="1"/>
  <c r="E212" s="1"/>
  <c r="E213" s="1"/>
  <c r="E214" s="1"/>
  <c r="E215" s="1"/>
  <c r="E216" s="1"/>
  <c r="E217" s="1"/>
  <c r="E218" s="1"/>
  <c r="E219" s="1"/>
  <c r="E220" s="1"/>
  <c r="E221" s="1"/>
  <c r="E222" s="1"/>
  <c r="E223" s="1"/>
  <c r="E224" s="1"/>
  <c r="E225" s="1"/>
  <c r="E226" s="1"/>
  <c r="E227" s="1"/>
  <c r="E228" s="1"/>
  <c r="E229" s="1"/>
  <c r="E230" s="1"/>
  <c r="E233"/>
  <c r="E234" s="1"/>
  <c r="E235" s="1"/>
  <c r="E236" s="1"/>
  <c r="E237" s="1"/>
  <c r="E238" s="1"/>
  <c r="E239" s="1"/>
  <c r="E240" s="1"/>
  <c r="E241" s="1"/>
  <c r="E242" s="1"/>
  <c r="E243" s="1"/>
  <c r="E244" s="1"/>
  <c r="E245" s="1"/>
  <c r="E246" s="1"/>
  <c r="E247" s="1"/>
  <c r="E248" s="1"/>
  <c r="E249" s="1"/>
  <c r="E250" s="1"/>
  <c r="E251" s="1"/>
  <c r="E252" s="1"/>
  <c r="E253" s="1"/>
  <c r="E254" s="1"/>
  <c r="E255" s="1"/>
  <c r="E256" s="1"/>
  <c r="E257" s="1"/>
  <c r="E258" s="1"/>
  <c r="E259" s="1"/>
  <c r="E260" s="1"/>
  <c r="E261" s="1"/>
  <c r="E262" s="1"/>
  <c r="E263" s="1"/>
  <c r="E264" s="1"/>
  <c r="E265" s="1"/>
  <c r="E266" s="1"/>
  <c r="E267" s="1"/>
  <c r="E268" s="1"/>
  <c r="E269" s="1"/>
  <c r="E270" s="1"/>
  <c r="E271" s="1"/>
  <c r="E272" s="1"/>
  <c r="E273" s="1"/>
  <c r="E274" s="1"/>
  <c r="E275" s="1"/>
  <c r="E276" s="1"/>
  <c r="E277" s="1"/>
  <c r="E278" s="1"/>
  <c r="E280"/>
  <c r="E282"/>
  <c r="E283" s="1"/>
  <c r="E284" s="1"/>
  <c r="E285" s="1"/>
  <c r="E286" s="1"/>
  <c r="E287" s="1"/>
  <c r="E288" s="1"/>
  <c r="E289" s="1"/>
  <c r="E290" s="1"/>
  <c r="E291" s="1"/>
  <c r="E292" s="1"/>
  <c r="E293" s="1"/>
  <c r="E294" s="1"/>
  <c r="E295" s="1"/>
  <c r="E296" s="1"/>
  <c r="E297" s="1"/>
  <c r="E298" s="1"/>
  <c r="E299" s="1"/>
  <c r="E300" s="1"/>
  <c r="E301" s="1"/>
  <c r="E302" s="1"/>
  <c r="E303" s="1"/>
  <c r="E304" s="1"/>
  <c r="E305" s="1"/>
  <c r="E306" s="1"/>
  <c r="E307" s="1"/>
  <c r="E308" s="1"/>
  <c r="E309" s="1"/>
  <c r="E310" s="1"/>
  <c r="E311" s="1"/>
  <c r="E312" s="1"/>
  <c r="E313" s="1"/>
  <c r="E314" s="1"/>
  <c r="E315" s="1"/>
  <c r="E320"/>
  <c r="E321" s="1"/>
  <c r="E323"/>
  <c r="E324" s="1"/>
  <c r="E326"/>
  <c r="E327" s="1"/>
  <c r="E328" s="1"/>
  <c r="E329" s="1"/>
  <c r="E330" s="1"/>
  <c r="E331" s="1"/>
  <c r="E333"/>
  <c r="E334" s="1"/>
  <c r="E335" s="1"/>
  <c r="E336" s="1"/>
  <c r="E337" s="1"/>
  <c r="E341"/>
  <c r="E342" s="1"/>
  <c r="E343" s="1"/>
  <c r="E345"/>
  <c r="E347"/>
  <c r="E348" s="1"/>
  <c r="E349" s="1"/>
  <c r="E350" s="1"/>
  <c r="E351" s="1"/>
  <c r="E352" s="1"/>
  <c r="E353" s="1"/>
  <c r="E354" s="1"/>
  <c r="E355" s="1"/>
  <c r="E356" s="1"/>
  <c r="E357" s="1"/>
  <c r="E358" s="1"/>
  <c r="E359" s="1"/>
  <c r="E361"/>
  <c r="E365"/>
  <c r="E366" s="1"/>
  <c r="E367" s="1"/>
  <c r="E368" s="1"/>
  <c r="E369" s="1"/>
  <c r="E370" s="1"/>
  <c r="E371" s="1"/>
  <c r="E372" s="1"/>
  <c r="E373" s="1"/>
  <c r="E374" s="1"/>
  <c r="E375" s="1"/>
  <c r="E376" s="1"/>
  <c r="E377" s="1"/>
  <c r="E378" s="1"/>
  <c r="E379" s="1"/>
  <c r="E380" s="1"/>
  <c r="E381" s="1"/>
  <c r="E382" s="1"/>
  <c r="E383" s="1"/>
  <c r="E384" s="1"/>
  <c r="F371"/>
  <c r="F372" s="1"/>
  <c r="F373" s="1"/>
  <c r="F374" s="1"/>
  <c r="F375" s="1"/>
  <c r="F376" s="1"/>
  <c r="F377" s="1"/>
  <c r="F378" s="1"/>
  <c r="F379" s="1"/>
  <c r="F380" s="1"/>
  <c r="F381" s="1"/>
  <c r="F382" s="1"/>
  <c r="F383" s="1"/>
  <c r="F384" s="1"/>
  <c r="E386"/>
  <c r="F386"/>
  <c r="E387"/>
  <c r="F387"/>
  <c r="E388"/>
  <c r="F388"/>
  <c r="E389"/>
  <c r="F389"/>
  <c r="E390"/>
  <c r="F390"/>
  <c r="E391"/>
  <c r="F391"/>
  <c r="E392"/>
  <c r="F392"/>
  <c r="E393"/>
  <c r="F393"/>
  <c r="E394"/>
  <c r="F394"/>
  <c r="E395"/>
  <c r="F395"/>
  <c r="E397"/>
  <c r="F397"/>
  <c r="E398"/>
  <c r="F398"/>
  <c r="E399"/>
  <c r="F399"/>
  <c r="E400"/>
  <c r="F400"/>
  <c r="E401"/>
  <c r="F401"/>
  <c r="E402"/>
  <c r="E403" s="1"/>
  <c r="E404" s="1"/>
  <c r="E406"/>
  <c r="E407" s="1"/>
  <c r="E408" s="1"/>
  <c r="E409" s="1"/>
  <c r="E410" s="1"/>
  <c r="E608"/>
  <c r="E609" s="1"/>
  <c r="E610" s="1"/>
  <c r="E611" s="1"/>
  <c r="E612" s="1"/>
  <c r="E613" s="1"/>
  <c r="E614" s="1"/>
  <c r="E615" s="1"/>
  <c r="E616" s="1"/>
  <c r="E617" s="1"/>
  <c r="E618" s="1"/>
  <c r="E619" s="1"/>
  <c r="E620" s="1"/>
  <c r="E621" s="1"/>
  <c r="E622" s="1"/>
  <c r="E623" s="1"/>
  <c r="E624" s="1"/>
  <c r="E625" s="1"/>
  <c r="E626" s="1"/>
  <c r="E627" s="1"/>
  <c r="E628" s="1"/>
  <c r="E629" s="1"/>
  <c r="E630" s="1"/>
  <c r="E631" s="1"/>
  <c r="E639"/>
  <c r="Y633"/>
  <c r="AU631"/>
  <c r="AT631"/>
  <c r="AR631"/>
  <c r="AQ631"/>
  <c r="AP631"/>
  <c r="AO631"/>
  <c r="AM631"/>
  <c r="AL631"/>
  <c r="AU630"/>
  <c r="AT630"/>
  <c r="AR630"/>
  <c r="AQ630"/>
  <c r="AP630"/>
  <c r="AO630"/>
  <c r="AM630"/>
  <c r="AL630"/>
  <c r="AU629"/>
  <c r="AT629"/>
  <c r="AR629"/>
  <c r="AQ629"/>
  <c r="AP629"/>
  <c r="AO629"/>
  <c r="AM629"/>
  <c r="AL629"/>
  <c r="AU628"/>
  <c r="AT628"/>
  <c r="AR628"/>
  <c r="AQ628"/>
  <c r="AP628"/>
  <c r="AO628"/>
  <c r="AM628"/>
  <c r="AL628"/>
  <c r="AU627"/>
  <c r="AT627"/>
  <c r="AR627"/>
  <c r="AQ627"/>
  <c r="AP627"/>
  <c r="AO627"/>
  <c r="AM627"/>
  <c r="AL627"/>
  <c r="AU626"/>
  <c r="AT626"/>
  <c r="AR626"/>
  <c r="AQ626"/>
  <c r="AP626"/>
  <c r="AO626"/>
  <c r="AM626"/>
  <c r="AL626"/>
  <c r="AU625"/>
  <c r="AT625"/>
  <c r="AR625"/>
  <c r="AQ625"/>
  <c r="AP625"/>
  <c r="AO625"/>
  <c r="AM625"/>
  <c r="AL625"/>
  <c r="AU624"/>
  <c r="AT624"/>
  <c r="AR624"/>
  <c r="AQ624"/>
  <c r="AP624"/>
  <c r="AO624"/>
  <c r="AM624"/>
  <c r="AL624"/>
  <c r="AU623"/>
  <c r="AT623"/>
  <c r="AR623"/>
  <c r="AQ623"/>
  <c r="AP623"/>
  <c r="AO623"/>
  <c r="AM623"/>
  <c r="AL623"/>
  <c r="AU622"/>
  <c r="AT622"/>
  <c r="AR622"/>
  <c r="AQ622"/>
  <c r="AP622"/>
  <c r="AO622"/>
  <c r="AM622"/>
  <c r="AL622"/>
  <c r="AU621"/>
  <c r="AT621"/>
  <c r="AR621"/>
  <c r="AQ621"/>
  <c r="AP621"/>
  <c r="AO621"/>
  <c r="AM621"/>
  <c r="AL621"/>
  <c r="AU620"/>
  <c r="AT620"/>
  <c r="AR620"/>
  <c r="AQ620"/>
  <c r="AP620"/>
  <c r="AO620"/>
  <c r="AM620"/>
  <c r="AL620"/>
  <c r="AU619"/>
  <c r="AT619"/>
  <c r="AR619"/>
  <c r="AQ619"/>
  <c r="AP619"/>
  <c r="AO619"/>
  <c r="AM619"/>
  <c r="AL619"/>
  <c r="AU618"/>
  <c r="AT618"/>
  <c r="AR618"/>
  <c r="AQ618"/>
  <c r="AP618"/>
  <c r="AO618"/>
  <c r="AM618"/>
  <c r="AL618"/>
  <c r="AU617"/>
  <c r="AT617"/>
  <c r="AR617"/>
  <c r="AQ617"/>
  <c r="AP617"/>
  <c r="AO617"/>
  <c r="AM617"/>
  <c r="AL617"/>
  <c r="AU616"/>
  <c r="AT616"/>
  <c r="AR616"/>
  <c r="AQ616"/>
  <c r="AP616"/>
  <c r="AO616"/>
  <c r="AM616"/>
  <c r="AL616"/>
  <c r="AU615"/>
  <c r="AT615"/>
  <c r="AR615"/>
  <c r="AQ615"/>
  <c r="AP615"/>
  <c r="AO615"/>
  <c r="AM615"/>
  <c r="AL615"/>
  <c r="AU614"/>
  <c r="AT614"/>
  <c r="AR614"/>
  <c r="AQ614"/>
  <c r="AP614"/>
  <c r="AO614"/>
  <c r="AM614"/>
  <c r="AL614"/>
  <c r="AU613"/>
  <c r="AT613"/>
  <c r="AR613"/>
  <c r="AQ613"/>
  <c r="AP613"/>
  <c r="AO613"/>
  <c r="AM613"/>
  <c r="AL613"/>
  <c r="AU612"/>
  <c r="AT612"/>
  <c r="AR612"/>
  <c r="AQ612"/>
  <c r="AP612"/>
  <c r="AO612"/>
  <c r="AM612"/>
  <c r="AL612"/>
  <c r="AU611"/>
  <c r="AT611"/>
  <c r="AR611"/>
  <c r="AQ611"/>
  <c r="AP611"/>
  <c r="AO611"/>
  <c r="AM611"/>
  <c r="AL611"/>
  <c r="AU610"/>
  <c r="AT610"/>
  <c r="AR610"/>
  <c r="AQ610"/>
  <c r="AP610"/>
  <c r="AO610"/>
  <c r="AM610"/>
  <c r="AL610"/>
  <c r="AU609"/>
  <c r="AT609"/>
  <c r="AR609"/>
  <c r="AQ609"/>
  <c r="AP609"/>
  <c r="AO609"/>
  <c r="AM609"/>
  <c r="AL609"/>
  <c r="AU608"/>
  <c r="AT608"/>
  <c r="AR608"/>
  <c r="AQ608"/>
  <c r="AP608"/>
  <c r="AO608"/>
  <c r="AM608"/>
  <c r="AL608"/>
  <c r="AU607"/>
  <c r="AT607"/>
  <c r="AR607"/>
  <c r="AQ607"/>
  <c r="AP607"/>
  <c r="AO607"/>
  <c r="AM607"/>
  <c r="AL607"/>
  <c r="AU606"/>
  <c r="AT606"/>
  <c r="AR606"/>
  <c r="AQ606"/>
  <c r="AP606"/>
  <c r="AO606"/>
  <c r="AM606"/>
  <c r="AL606"/>
  <c r="Z606"/>
  <c r="AU605"/>
  <c r="AT605"/>
  <c r="AR605"/>
  <c r="AQ605"/>
  <c r="AP605"/>
  <c r="AO605"/>
  <c r="AM605"/>
  <c r="AL605"/>
  <c r="AU604"/>
  <c r="AT604"/>
  <c r="AR604"/>
  <c r="AQ604"/>
  <c r="AP604"/>
  <c r="AO604"/>
  <c r="AM604"/>
  <c r="AL604"/>
  <c r="AU603"/>
  <c r="AT603"/>
  <c r="AR603"/>
  <c r="AQ603"/>
  <c r="AP603"/>
  <c r="AO603"/>
  <c r="AM603"/>
  <c r="AL603"/>
  <c r="AU602"/>
  <c r="AT602"/>
  <c r="AR602"/>
  <c r="AQ602"/>
  <c r="AP602"/>
  <c r="AO602"/>
  <c r="AM602"/>
  <c r="AL602"/>
  <c r="AU601"/>
  <c r="AT601"/>
  <c r="AR601"/>
  <c r="AQ601"/>
  <c r="AP601"/>
  <c r="AO601"/>
  <c r="AM601"/>
  <c r="AL601"/>
  <c r="AU600"/>
  <c r="AT600"/>
  <c r="AR600"/>
  <c r="AQ600"/>
  <c r="AP600"/>
  <c r="AO600"/>
  <c r="AM600"/>
  <c r="AL600"/>
  <c r="AU598"/>
  <c r="AT598"/>
  <c r="AR598"/>
  <c r="AQ598"/>
  <c r="AP598"/>
  <c r="AO598"/>
  <c r="AM598"/>
  <c r="AL598"/>
  <c r="AU596"/>
  <c r="AT596"/>
  <c r="AR596"/>
  <c r="AQ596"/>
  <c r="AP596"/>
  <c r="AO596"/>
  <c r="AM596"/>
  <c r="AL596"/>
  <c r="AU594"/>
  <c r="AT594"/>
  <c r="AR594"/>
  <c r="AQ594"/>
  <c r="AP594"/>
  <c r="AO594"/>
  <c r="AM594"/>
  <c r="AL594"/>
  <c r="AU593"/>
  <c r="AT593"/>
  <c r="AR593"/>
  <c r="AQ593"/>
  <c r="AP593"/>
  <c r="AO593"/>
  <c r="AM593"/>
  <c r="AL593"/>
  <c r="AU592"/>
  <c r="AT592"/>
  <c r="AR592"/>
  <c r="AQ592"/>
  <c r="AP592"/>
  <c r="AO592"/>
  <c r="AM592"/>
  <c r="AL592"/>
  <c r="AU591"/>
  <c r="AT591"/>
  <c r="AR591"/>
  <c r="AQ591"/>
  <c r="AP591"/>
  <c r="AO591"/>
  <c r="AM591"/>
  <c r="AL591"/>
  <c r="AU590"/>
  <c r="AT590"/>
  <c r="AR590"/>
  <c r="AQ590"/>
  <c r="AP590"/>
  <c r="AO590"/>
  <c r="AM590"/>
  <c r="AL590"/>
  <c r="AU589"/>
  <c r="AT589"/>
  <c r="AR589"/>
  <c r="AQ589"/>
  <c r="AP589"/>
  <c r="AO589"/>
  <c r="AM589"/>
  <c r="AL589"/>
  <c r="AU588"/>
  <c r="AT588"/>
  <c r="AR588"/>
  <c r="AQ588"/>
  <c r="AP588"/>
  <c r="AO588"/>
  <c r="AM588"/>
  <c r="AL588"/>
  <c r="AU587"/>
  <c r="AT587"/>
  <c r="AR587"/>
  <c r="AQ587"/>
  <c r="AP587"/>
  <c r="AO587"/>
  <c r="AM587"/>
  <c r="AL587"/>
  <c r="AU586"/>
  <c r="AT586"/>
  <c r="AR586"/>
  <c r="AQ586"/>
  <c r="AP586"/>
  <c r="AO586"/>
  <c r="AM586"/>
  <c r="AL586"/>
  <c r="AU585"/>
  <c r="AT585"/>
  <c r="AR585"/>
  <c r="AQ585"/>
  <c r="AP585"/>
  <c r="AO585"/>
  <c r="AM585"/>
  <c r="AL585"/>
  <c r="AU584"/>
  <c r="AT584"/>
  <c r="AR584"/>
  <c r="AQ584"/>
  <c r="AP584"/>
  <c r="AO584"/>
  <c r="AM584"/>
  <c r="AL584"/>
  <c r="AU583"/>
  <c r="AT583"/>
  <c r="AR583"/>
  <c r="AQ583"/>
  <c r="AP583"/>
  <c r="AO583"/>
  <c r="AM583"/>
  <c r="AL583"/>
  <c r="AU582"/>
  <c r="AT582"/>
  <c r="AR582"/>
  <c r="AQ582"/>
  <c r="AP582"/>
  <c r="AO582"/>
  <c r="AM582"/>
  <c r="AL582"/>
  <c r="AU581"/>
  <c r="AT581"/>
  <c r="AR581"/>
  <c r="AQ581"/>
  <c r="AP581"/>
  <c r="AO581"/>
  <c r="AM581"/>
  <c r="AL581"/>
  <c r="AU580"/>
  <c r="AT580"/>
  <c r="AR580"/>
  <c r="AQ580"/>
  <c r="AP580"/>
  <c r="AO580"/>
  <c r="AM580"/>
  <c r="AL580"/>
  <c r="AU579"/>
  <c r="AT579"/>
  <c r="AR579"/>
  <c r="AQ579"/>
  <c r="AP579"/>
  <c r="AO579"/>
  <c r="AM579"/>
  <c r="AL579"/>
  <c r="AU578"/>
  <c r="AT578"/>
  <c r="AR578"/>
  <c r="AQ578"/>
  <c r="AP578"/>
  <c r="AO578"/>
  <c r="AM578"/>
  <c r="AL578"/>
  <c r="Z578"/>
  <c r="AU577"/>
  <c r="AT577"/>
  <c r="AR577"/>
  <c r="AQ577"/>
  <c r="AP577"/>
  <c r="AO577"/>
  <c r="AM577"/>
  <c r="AL577"/>
  <c r="Z577"/>
  <c r="AU576"/>
  <c r="AT576"/>
  <c r="AR576"/>
  <c r="AQ576"/>
  <c r="AP576"/>
  <c r="AO576"/>
  <c r="AM576"/>
  <c r="AL576"/>
  <c r="Z576"/>
  <c r="AU574"/>
  <c r="AT574"/>
  <c r="AR574"/>
  <c r="AQ574"/>
  <c r="AP574"/>
  <c r="AO574"/>
  <c r="AM574"/>
  <c r="AL574"/>
  <c r="Z574"/>
  <c r="AU573"/>
  <c r="AT573"/>
  <c r="AR573"/>
  <c r="AQ573"/>
  <c r="AP573"/>
  <c r="AO573"/>
  <c r="AM573"/>
  <c r="AL573"/>
  <c r="Z573"/>
  <c r="AU572"/>
  <c r="AT572"/>
  <c r="AR572"/>
  <c r="AQ572"/>
  <c r="AP572"/>
  <c r="AO572"/>
  <c r="AM572"/>
  <c r="AL572"/>
  <c r="Z572"/>
  <c r="AU570"/>
  <c r="AT570"/>
  <c r="AR570"/>
  <c r="AQ570"/>
  <c r="AP570"/>
  <c r="AO570"/>
  <c r="AM570"/>
  <c r="AL570"/>
  <c r="Z570"/>
  <c r="AU569"/>
  <c r="AT569"/>
  <c r="AR569"/>
  <c r="AQ569"/>
  <c r="AP569"/>
  <c r="AO569"/>
  <c r="AM569"/>
  <c r="AL569"/>
  <c r="Z569"/>
  <c r="AU568"/>
  <c r="AT568"/>
  <c r="AR568"/>
  <c r="AQ568"/>
  <c r="AP568"/>
  <c r="AO568"/>
  <c r="AM568"/>
  <c r="AL568"/>
  <c r="Z568"/>
  <c r="AU566"/>
  <c r="AT566"/>
  <c r="AR566"/>
  <c r="AQ566"/>
  <c r="AP566"/>
  <c r="AO566"/>
  <c r="AM566"/>
  <c r="AL566"/>
  <c r="Z566"/>
  <c r="AU565"/>
  <c r="AT565"/>
  <c r="AR565"/>
  <c r="AQ565"/>
  <c r="AP565"/>
  <c r="AO565"/>
  <c r="AM565"/>
  <c r="AL565"/>
  <c r="Z565"/>
  <c r="AU564"/>
  <c r="AT564"/>
  <c r="AR564"/>
  <c r="AQ564"/>
  <c r="AP564"/>
  <c r="AO564"/>
  <c r="AM564"/>
  <c r="AL564"/>
  <c r="Z564"/>
  <c r="AU563"/>
  <c r="AT563"/>
  <c r="AR563"/>
  <c r="AQ563"/>
  <c r="AP563"/>
  <c r="AO563"/>
  <c r="AM563"/>
  <c r="AL563"/>
  <c r="Z563"/>
  <c r="AU562"/>
  <c r="AT562"/>
  <c r="AR562"/>
  <c r="AQ562"/>
  <c r="AP562"/>
  <c r="AO562"/>
  <c r="AM562"/>
  <c r="AL562"/>
  <c r="Z562"/>
  <c r="AU561"/>
  <c r="AT561"/>
  <c r="AR561"/>
  <c r="AQ561"/>
  <c r="AP561"/>
  <c r="AO561"/>
  <c r="AM561"/>
  <c r="AL561"/>
  <c r="Z561"/>
  <c r="AU560"/>
  <c r="AT560"/>
  <c r="AR560"/>
  <c r="AQ560"/>
  <c r="AP560"/>
  <c r="AO560"/>
  <c r="AM560"/>
  <c r="AL560"/>
  <c r="Z560"/>
  <c r="AU559"/>
  <c r="AT559"/>
  <c r="AR559"/>
  <c r="AQ559"/>
  <c r="AP559"/>
  <c r="AO559"/>
  <c r="AN559"/>
  <c r="AM559"/>
  <c r="AL559"/>
  <c r="Z559"/>
  <c r="AU558"/>
  <c r="AT558"/>
  <c r="AR558"/>
  <c r="AQ558"/>
  <c r="AP558"/>
  <c r="AO558"/>
  <c r="AM558"/>
  <c r="AL558"/>
  <c r="Z558"/>
  <c r="AU557"/>
  <c r="AT557"/>
  <c r="AR557"/>
  <c r="AQ557"/>
  <c r="AP557"/>
  <c r="AO557"/>
  <c r="AM557"/>
  <c r="AL557"/>
  <c r="Z557"/>
  <c r="AU556"/>
  <c r="AT556"/>
  <c r="AR556"/>
  <c r="AQ556"/>
  <c r="AP556"/>
  <c r="AO556"/>
  <c r="AM556"/>
  <c r="AL556"/>
  <c r="Z556"/>
  <c r="AU555"/>
  <c r="AT555"/>
  <c r="AR555"/>
  <c r="AQ555"/>
  <c r="AP555"/>
  <c r="AO555"/>
  <c r="AN555"/>
  <c r="AM555"/>
  <c r="AL555"/>
  <c r="Z555"/>
  <c r="AU554"/>
  <c r="AT554"/>
  <c r="AR554"/>
  <c r="AQ554"/>
  <c r="AP554"/>
  <c r="AO554"/>
  <c r="AM554"/>
  <c r="AL554"/>
  <c r="Z554"/>
  <c r="AU553"/>
  <c r="AT553"/>
  <c r="AR553"/>
  <c r="AQ553"/>
  <c r="AP553"/>
  <c r="AO553"/>
  <c r="AM553"/>
  <c r="AL553"/>
  <c r="Z553"/>
  <c r="AU552"/>
  <c r="AT552"/>
  <c r="AR552"/>
  <c r="AQ552"/>
  <c r="AP552"/>
  <c r="AO552"/>
  <c r="AM552"/>
  <c r="AL552"/>
  <c r="Z552"/>
  <c r="AU551"/>
  <c r="AT551"/>
  <c r="AR551"/>
  <c r="AQ551"/>
  <c r="AP551"/>
  <c r="AO551"/>
  <c r="AM551"/>
  <c r="AL551"/>
  <c r="Z551"/>
  <c r="AU550"/>
  <c r="AT550"/>
  <c r="AR550"/>
  <c r="AQ550"/>
  <c r="AP550"/>
  <c r="AO550"/>
  <c r="AM550"/>
  <c r="AL550"/>
  <c r="Z550"/>
  <c r="AU549"/>
  <c r="AT549"/>
  <c r="AR549"/>
  <c r="AQ549"/>
  <c r="AP549"/>
  <c r="AO549"/>
  <c r="AM549"/>
  <c r="AL549"/>
  <c r="Z549"/>
  <c r="AU548"/>
  <c r="AT548"/>
  <c r="AR548"/>
  <c r="AQ548"/>
  <c r="AP548"/>
  <c r="AO548"/>
  <c r="AM548"/>
  <c r="AL548"/>
  <c r="Z548"/>
  <c r="AU547"/>
  <c r="AT547"/>
  <c r="AR547"/>
  <c r="AQ547"/>
  <c r="AP547"/>
  <c r="AO547"/>
  <c r="AM547"/>
  <c r="AL547"/>
  <c r="Z547"/>
  <c r="AU546"/>
  <c r="AT546"/>
  <c r="AR546"/>
  <c r="AQ546"/>
  <c r="AP546"/>
  <c r="AO546"/>
  <c r="AM546"/>
  <c r="AL546"/>
  <c r="Z546"/>
  <c r="AU545"/>
  <c r="AT545"/>
  <c r="AR545"/>
  <c r="AQ545"/>
  <c r="AP545"/>
  <c r="AO545"/>
  <c r="AM545"/>
  <c r="AL545"/>
  <c r="Z545"/>
  <c r="AU543"/>
  <c r="AT543"/>
  <c r="AR543"/>
  <c r="AQ543"/>
  <c r="AP543"/>
  <c r="AO543"/>
  <c r="AM543"/>
  <c r="AL543"/>
  <c r="Z543"/>
  <c r="AU542"/>
  <c r="AT542"/>
  <c r="AR542"/>
  <c r="AQ542"/>
  <c r="AP542"/>
  <c r="AO542"/>
  <c r="AM542"/>
  <c r="AL542"/>
  <c r="Z542"/>
  <c r="AU541"/>
  <c r="AT541"/>
  <c r="AR541"/>
  <c r="AQ541"/>
  <c r="AP541"/>
  <c r="AO541"/>
  <c r="AM541"/>
  <c r="AL541"/>
  <c r="AH541"/>
  <c r="Z541"/>
  <c r="AU540"/>
  <c r="AT540"/>
  <c r="AR540"/>
  <c r="AQ540"/>
  <c r="AP540"/>
  <c r="AO540"/>
  <c r="AM540"/>
  <c r="AL540"/>
  <c r="AH540"/>
  <c r="Z540"/>
  <c r="AU539"/>
  <c r="AT539"/>
  <c r="AR539"/>
  <c r="AQ539"/>
  <c r="AP539"/>
  <c r="AO539"/>
  <c r="AM539"/>
  <c r="AL539"/>
  <c r="AH539"/>
  <c r="Z539"/>
  <c r="AU538"/>
  <c r="AT538"/>
  <c r="AR538"/>
  <c r="AQ538"/>
  <c r="AP538"/>
  <c r="AO538"/>
  <c r="AM538"/>
  <c r="AL538"/>
  <c r="AH538"/>
  <c r="Z538"/>
  <c r="AU537"/>
  <c r="AT537"/>
  <c r="AR537"/>
  <c r="AQ537"/>
  <c r="AP537"/>
  <c r="AO537"/>
  <c r="AM537"/>
  <c r="AL537"/>
  <c r="AH537"/>
  <c r="Z537"/>
  <c r="AU536"/>
  <c r="AT536"/>
  <c r="AR536"/>
  <c r="AQ536"/>
  <c r="AP536"/>
  <c r="AO536"/>
  <c r="AM536"/>
  <c r="AL536"/>
  <c r="AH536"/>
  <c r="Z536"/>
  <c r="AU535"/>
  <c r="AT535"/>
  <c r="AR535"/>
  <c r="AQ535"/>
  <c r="AP535"/>
  <c r="AO535"/>
  <c r="AM535"/>
  <c r="AL535"/>
  <c r="AH535"/>
  <c r="Z535"/>
  <c r="AU534"/>
  <c r="AT534"/>
  <c r="AR534"/>
  <c r="AQ534"/>
  <c r="AP534"/>
  <c r="AO534"/>
  <c r="AM534"/>
  <c r="AL534"/>
  <c r="AH534"/>
  <c r="Z534"/>
  <c r="AU532"/>
  <c r="AT532"/>
  <c r="AR532"/>
  <c r="AQ532"/>
  <c r="AP532"/>
  <c r="AO532"/>
  <c r="AN532"/>
  <c r="AM532"/>
  <c r="AL532"/>
  <c r="AH532"/>
  <c r="Z532"/>
  <c r="AU531"/>
  <c r="AT531"/>
  <c r="AR531"/>
  <c r="AQ531"/>
  <c r="AP531"/>
  <c r="AO531"/>
  <c r="AM531"/>
  <c r="AL531"/>
  <c r="AH531"/>
  <c r="Z531"/>
  <c r="AU530"/>
  <c r="AT530"/>
  <c r="AR530"/>
  <c r="AQ530"/>
  <c r="AP530"/>
  <c r="AO530"/>
  <c r="AM530"/>
  <c r="AL530"/>
  <c r="AH530"/>
  <c r="Z530"/>
  <c r="AU529"/>
  <c r="AT529"/>
  <c r="AR529"/>
  <c r="AQ529"/>
  <c r="AP529"/>
  <c r="AO529"/>
  <c r="AM529"/>
  <c r="AL529"/>
  <c r="AH529"/>
  <c r="Z529"/>
  <c r="AU528"/>
  <c r="AT528"/>
  <c r="AR528"/>
  <c r="AQ528"/>
  <c r="AP528"/>
  <c r="AO528"/>
  <c r="AM528"/>
  <c r="AL528"/>
  <c r="AH528"/>
  <c r="Z528"/>
  <c r="AU527"/>
  <c r="AT527"/>
  <c r="AR527"/>
  <c r="AQ527"/>
  <c r="AP527"/>
  <c r="AO527"/>
  <c r="AM527"/>
  <c r="AL527"/>
  <c r="AH527"/>
  <c r="Z527"/>
  <c r="AU526"/>
  <c r="AT526"/>
  <c r="AR526"/>
  <c r="AQ526"/>
  <c r="AP526"/>
  <c r="AO526"/>
  <c r="AN526"/>
  <c r="AM526"/>
  <c r="AL526"/>
  <c r="AH526"/>
  <c r="Z526"/>
  <c r="AU525"/>
  <c r="AT525"/>
  <c r="AR525"/>
  <c r="AQ525"/>
  <c r="AP525"/>
  <c r="AO525"/>
  <c r="AM525"/>
  <c r="AL525"/>
  <c r="AH525"/>
  <c r="Z525"/>
  <c r="AU524"/>
  <c r="AT524"/>
  <c r="AR524"/>
  <c r="AQ524"/>
  <c r="AP524"/>
  <c r="AO524"/>
  <c r="AM524"/>
  <c r="AL524"/>
  <c r="AH524"/>
  <c r="Z524"/>
  <c r="AU523"/>
  <c r="AT523"/>
  <c r="AR523"/>
  <c r="AQ523"/>
  <c r="AP523"/>
  <c r="AO523"/>
  <c r="AM523"/>
  <c r="AL523"/>
  <c r="AH523"/>
  <c r="Z523"/>
  <c r="AU522"/>
  <c r="AT522"/>
  <c r="AR522"/>
  <c r="AQ522"/>
  <c r="AP522"/>
  <c r="AO522"/>
  <c r="AM522"/>
  <c r="AL522"/>
  <c r="AH522"/>
  <c r="Z522"/>
  <c r="AU521"/>
  <c r="AT521"/>
  <c r="AR521"/>
  <c r="AQ521"/>
  <c r="AP521"/>
  <c r="AO521"/>
  <c r="AN521"/>
  <c r="AM521"/>
  <c r="AL521"/>
  <c r="AH521"/>
  <c r="Z521"/>
  <c r="AU520"/>
  <c r="AT520"/>
  <c r="AR520"/>
  <c r="AQ520"/>
  <c r="AP520"/>
  <c r="AO520"/>
  <c r="AM520"/>
  <c r="AL520"/>
  <c r="AH520"/>
  <c r="Z520"/>
  <c r="AU518"/>
  <c r="AT518"/>
  <c r="AR518"/>
  <c r="AQ518"/>
  <c r="AP518"/>
  <c r="AO518"/>
  <c r="AM518"/>
  <c r="AL518"/>
  <c r="AH518"/>
  <c r="Z518"/>
  <c r="AU517"/>
  <c r="AT517"/>
  <c r="AR517"/>
  <c r="AQ517"/>
  <c r="AP517"/>
  <c r="AO517"/>
  <c r="AM517"/>
  <c r="AL517"/>
  <c r="AH517"/>
  <c r="Z517"/>
  <c r="AU516"/>
  <c r="AT516"/>
  <c r="AR516"/>
  <c r="AQ516"/>
  <c r="AP516"/>
  <c r="AO516"/>
  <c r="AM516"/>
  <c r="AL516"/>
  <c r="AH516"/>
  <c r="Z516"/>
  <c r="AU515"/>
  <c r="AT515"/>
  <c r="AR515"/>
  <c r="AQ515"/>
  <c r="AP515"/>
  <c r="AO515"/>
  <c r="AM515"/>
  <c r="AL515"/>
  <c r="AH515"/>
  <c r="AU514"/>
  <c r="AT514"/>
  <c r="AR514"/>
  <c r="AQ514"/>
  <c r="AP514"/>
  <c r="AO514"/>
  <c r="AM514"/>
  <c r="AL514"/>
  <c r="AH514"/>
  <c r="Z514"/>
  <c r="AU513"/>
  <c r="AT513"/>
  <c r="AR513"/>
  <c r="AQ513"/>
  <c r="AP513"/>
  <c r="AO513"/>
  <c r="AN513"/>
  <c r="AM513"/>
  <c r="AL513"/>
  <c r="AH513"/>
  <c r="Z513"/>
  <c r="AU512"/>
  <c r="AT512"/>
  <c r="AR512"/>
  <c r="AQ512"/>
  <c r="AP512"/>
  <c r="AO512"/>
  <c r="AM512"/>
  <c r="AL512"/>
  <c r="AH512"/>
  <c r="Z512"/>
  <c r="AU510"/>
  <c r="AT510"/>
  <c r="AR510"/>
  <c r="AQ510"/>
  <c r="AP510"/>
  <c r="AO510"/>
  <c r="AM510"/>
  <c r="AL510"/>
  <c r="AH510"/>
  <c r="Z510"/>
  <c r="AU509"/>
  <c r="AT509"/>
  <c r="AR509"/>
  <c r="AQ509"/>
  <c r="AP509"/>
  <c r="AO509"/>
  <c r="AM509"/>
  <c r="AL509"/>
  <c r="AH509"/>
  <c r="Z509"/>
  <c r="AU507"/>
  <c r="AT507"/>
  <c r="AR507"/>
  <c r="AQ507"/>
  <c r="AP507"/>
  <c r="AO507"/>
  <c r="AM507"/>
  <c r="AL507"/>
  <c r="AH507"/>
  <c r="Z507"/>
  <c r="AU506"/>
  <c r="AT506"/>
  <c r="AR506"/>
  <c r="AQ506"/>
  <c r="AP506"/>
  <c r="AO506"/>
  <c r="AM506"/>
  <c r="AL506"/>
  <c r="AH506"/>
  <c r="Z506"/>
  <c r="AU505"/>
  <c r="AT505"/>
  <c r="AR505"/>
  <c r="AQ505"/>
  <c r="AP505"/>
  <c r="AO505"/>
  <c r="AM505"/>
  <c r="AL505"/>
  <c r="AH505"/>
  <c r="Z505"/>
  <c r="AU504"/>
  <c r="AT504"/>
  <c r="AR504"/>
  <c r="AQ504"/>
  <c r="AP504"/>
  <c r="AO504"/>
  <c r="AM504"/>
  <c r="AL504"/>
  <c r="AH504"/>
  <c r="Z504"/>
  <c r="AU503"/>
  <c r="AT503"/>
  <c r="AR503"/>
  <c r="AQ503"/>
  <c r="AP503"/>
  <c r="AO503"/>
  <c r="AM503"/>
  <c r="AL503"/>
  <c r="AH503"/>
  <c r="Z503"/>
  <c r="AU502"/>
  <c r="AT502"/>
  <c r="AR502"/>
  <c r="AQ502"/>
  <c r="AP502"/>
  <c r="AO502"/>
  <c r="AM502"/>
  <c r="AL502"/>
  <c r="AH502"/>
  <c r="Z502"/>
  <c r="AU501"/>
  <c r="AT501"/>
  <c r="AR501"/>
  <c r="AQ501"/>
  <c r="AP501"/>
  <c r="AO501"/>
  <c r="AM501"/>
  <c r="AL501"/>
  <c r="AH501"/>
  <c r="Z501"/>
  <c r="AU500"/>
  <c r="AT500"/>
  <c r="AR500"/>
  <c r="AQ500"/>
  <c r="AP500"/>
  <c r="AO500"/>
  <c r="AM500"/>
  <c r="AL500"/>
  <c r="AH500"/>
  <c r="Z500"/>
  <c r="AU499"/>
  <c r="AT499"/>
  <c r="AR499"/>
  <c r="AQ499"/>
  <c r="AP499"/>
  <c r="AO499"/>
  <c r="AM499"/>
  <c r="AL499"/>
  <c r="AH499"/>
  <c r="Z499"/>
  <c r="AU498"/>
  <c r="AT498"/>
  <c r="AR498"/>
  <c r="AQ498"/>
  <c r="AP498"/>
  <c r="AO498"/>
  <c r="AM498"/>
  <c r="AL498"/>
  <c r="AH498"/>
  <c r="Z498"/>
  <c r="AU497"/>
  <c r="AT497"/>
  <c r="AR497"/>
  <c r="AQ497"/>
  <c r="AP497"/>
  <c r="AO497"/>
  <c r="AM497"/>
  <c r="AL497"/>
  <c r="AH497"/>
  <c r="Z497"/>
  <c r="AU496"/>
  <c r="AT496"/>
  <c r="AR496"/>
  <c r="AQ496"/>
  <c r="AP496"/>
  <c r="AO496"/>
  <c r="AM496"/>
  <c r="AL496"/>
  <c r="AH496"/>
  <c r="Z496"/>
  <c r="AU495"/>
  <c r="AT495"/>
  <c r="AR495"/>
  <c r="AQ495"/>
  <c r="AP495"/>
  <c r="AO495"/>
  <c r="AM495"/>
  <c r="AL495"/>
  <c r="AH495"/>
  <c r="Z495"/>
  <c r="AU494"/>
  <c r="AT494"/>
  <c r="AR494"/>
  <c r="AQ494"/>
  <c r="AP494"/>
  <c r="AO494"/>
  <c r="AM494"/>
  <c r="AL494"/>
  <c r="AH494"/>
  <c r="Z494"/>
  <c r="AU493"/>
  <c r="AT493"/>
  <c r="AR493"/>
  <c r="AQ493"/>
  <c r="AP493"/>
  <c r="AO493"/>
  <c r="AM493"/>
  <c r="AL493"/>
  <c r="AH493"/>
  <c r="Z493"/>
  <c r="AU492"/>
  <c r="AT492"/>
  <c r="AR492"/>
  <c r="AQ492"/>
  <c r="AP492"/>
  <c r="AO492"/>
  <c r="AM492"/>
  <c r="AL492"/>
  <c r="AH492"/>
  <c r="Z492"/>
  <c r="AU491"/>
  <c r="AT491"/>
  <c r="AR491"/>
  <c r="AQ491"/>
  <c r="AP491"/>
  <c r="AO491"/>
  <c r="AM491"/>
  <c r="AL491"/>
  <c r="AH491"/>
  <c r="Z491"/>
  <c r="AU490"/>
  <c r="AT490"/>
  <c r="AR490"/>
  <c r="AQ490"/>
  <c r="AP490"/>
  <c r="AO490"/>
  <c r="AM490"/>
  <c r="AL490"/>
  <c r="AH490"/>
  <c r="Z490"/>
  <c r="AU489"/>
  <c r="AT489"/>
  <c r="AR489"/>
  <c r="AQ489"/>
  <c r="AP489"/>
  <c r="AO489"/>
  <c r="AM489"/>
  <c r="AL489"/>
  <c r="AH489"/>
  <c r="Z489"/>
  <c r="AU488"/>
  <c r="AT488"/>
  <c r="AR488"/>
  <c r="AQ488"/>
  <c r="AP488"/>
  <c r="AO488"/>
  <c r="AN488"/>
  <c r="AM488"/>
  <c r="AL488"/>
  <c r="AH488"/>
  <c r="Z488"/>
  <c r="AU487"/>
  <c r="AT487"/>
  <c r="AR487"/>
  <c r="AQ487"/>
  <c r="AP487"/>
  <c r="AO487"/>
  <c r="AM487"/>
  <c r="AL487"/>
  <c r="AH487"/>
  <c r="Z487"/>
  <c r="AU486"/>
  <c r="AT486"/>
  <c r="AR486"/>
  <c r="AQ486"/>
  <c r="AP486"/>
  <c r="AO486"/>
  <c r="AM486"/>
  <c r="AL486"/>
  <c r="AH486"/>
  <c r="Z486"/>
  <c r="AU485"/>
  <c r="AT485"/>
  <c r="AR485"/>
  <c r="AQ485"/>
  <c r="AP485"/>
  <c r="AO485"/>
  <c r="AM485"/>
  <c r="AL485"/>
  <c r="AH485"/>
  <c r="Z485"/>
  <c r="AU484"/>
  <c r="AT484"/>
  <c r="AR484"/>
  <c r="AQ484"/>
  <c r="AP484"/>
  <c r="AO484"/>
  <c r="AM484"/>
  <c r="AL484"/>
  <c r="AH484"/>
  <c r="Z484"/>
  <c r="AU483"/>
  <c r="AT483"/>
  <c r="AR483"/>
  <c r="AQ483"/>
  <c r="AP483"/>
  <c r="AO483"/>
  <c r="AM483"/>
  <c r="AL483"/>
  <c r="AH483"/>
  <c r="Z483"/>
  <c r="AU482"/>
  <c r="AT482"/>
  <c r="AR482"/>
  <c r="AQ482"/>
  <c r="AP482"/>
  <c r="AO482"/>
  <c r="AM482"/>
  <c r="AL482"/>
  <c r="AH482"/>
  <c r="Z482"/>
  <c r="AU481"/>
  <c r="AT481"/>
  <c r="AR481"/>
  <c r="AQ481"/>
  <c r="AP481"/>
  <c r="AO481"/>
  <c r="AM481"/>
  <c r="AL481"/>
  <c r="AH481"/>
  <c r="Z481"/>
  <c r="AU480"/>
  <c r="AT480"/>
  <c r="AR480"/>
  <c r="AQ480"/>
  <c r="AP480"/>
  <c r="AO480"/>
  <c r="AM480"/>
  <c r="AL480"/>
  <c r="AH480"/>
  <c r="Z480"/>
  <c r="AU479"/>
  <c r="AT479"/>
  <c r="AR479"/>
  <c r="AQ479"/>
  <c r="AP479"/>
  <c r="AO479"/>
  <c r="AM479"/>
  <c r="AL479"/>
  <c r="AH479"/>
  <c r="Z479"/>
  <c r="AU478"/>
  <c r="AT478"/>
  <c r="AR478"/>
  <c r="AQ478"/>
  <c r="AP478"/>
  <c r="AO478"/>
  <c r="AM478"/>
  <c r="AL478"/>
  <c r="AH478"/>
  <c r="Z478"/>
  <c r="AU477"/>
  <c r="AT477"/>
  <c r="AR477"/>
  <c r="AQ477"/>
  <c r="AP477"/>
  <c r="AO477"/>
  <c r="AN477"/>
  <c r="AM477"/>
  <c r="AL477"/>
  <c r="AH477"/>
  <c r="Z477"/>
  <c r="AU476"/>
  <c r="AT476"/>
  <c r="AR476"/>
  <c r="AQ476"/>
  <c r="AP476"/>
  <c r="AO476"/>
  <c r="AN476"/>
  <c r="AM476"/>
  <c r="AL476"/>
  <c r="AH476"/>
  <c r="Z476"/>
  <c r="AU474"/>
  <c r="AT474"/>
  <c r="AR474"/>
  <c r="AQ474"/>
  <c r="AP474"/>
  <c r="AO474"/>
  <c r="AM474"/>
  <c r="AL474"/>
  <c r="AH474"/>
  <c r="AU473"/>
  <c r="AT473"/>
  <c r="AR473"/>
  <c r="AQ473"/>
  <c r="AP473"/>
  <c r="AO473"/>
  <c r="AM473"/>
  <c r="AL473"/>
  <c r="AH473"/>
  <c r="AU472"/>
  <c r="AT472"/>
  <c r="AR472"/>
  <c r="AQ472"/>
  <c r="AP472"/>
  <c r="AO472"/>
  <c r="AM472"/>
  <c r="AL472"/>
  <c r="AH472"/>
  <c r="AU471"/>
  <c r="AT471"/>
  <c r="AR471"/>
  <c r="AQ471"/>
  <c r="AP471"/>
  <c r="AO471"/>
  <c r="AM471"/>
  <c r="AL471"/>
  <c r="AH471"/>
  <c r="AU470"/>
  <c r="AT470"/>
  <c r="AR470"/>
  <c r="AQ470"/>
  <c r="AP470"/>
  <c r="AO470"/>
  <c r="AM470"/>
  <c r="AL470"/>
  <c r="AH470"/>
  <c r="AU465"/>
  <c r="AT465"/>
  <c r="AR465"/>
  <c r="AQ465"/>
  <c r="AP465"/>
  <c r="AO465"/>
  <c r="AM465"/>
  <c r="AL465"/>
  <c r="AH465"/>
  <c r="AU464"/>
  <c r="AT464"/>
  <c r="AR464"/>
  <c r="AQ464"/>
  <c r="AP464"/>
  <c r="AO464"/>
  <c r="AN464"/>
  <c r="AM464"/>
  <c r="AL464"/>
  <c r="AH464"/>
  <c r="AU463"/>
  <c r="AT463"/>
  <c r="AR463"/>
  <c r="AQ463"/>
  <c r="AP463"/>
  <c r="AO463"/>
  <c r="AM463"/>
  <c r="AL463"/>
  <c r="AH463"/>
  <c r="AU462"/>
  <c r="AT462"/>
  <c r="AR462"/>
  <c r="AQ462"/>
  <c r="AP462"/>
  <c r="AO462"/>
  <c r="AM462"/>
  <c r="AL462"/>
  <c r="AH462"/>
  <c r="AU461"/>
  <c r="AT461"/>
  <c r="AR461"/>
  <c r="AQ461"/>
  <c r="AP461"/>
  <c r="AO461"/>
  <c r="AM461"/>
  <c r="AL461"/>
  <c r="AH461"/>
  <c r="AU458"/>
  <c r="AT458"/>
  <c r="AR458"/>
  <c r="AQ458"/>
  <c r="AP458"/>
  <c r="AO458"/>
  <c r="AM458"/>
  <c r="AL458"/>
  <c r="AH458"/>
  <c r="AU457"/>
  <c r="AT457"/>
  <c r="AR457"/>
  <c r="AQ457"/>
  <c r="AP457"/>
  <c r="AO457"/>
  <c r="AM457"/>
  <c r="AL457"/>
  <c r="AH457"/>
  <c r="AU456"/>
  <c r="AT456"/>
  <c r="AR456"/>
  <c r="AQ456"/>
  <c r="AP456"/>
  <c r="AO456"/>
  <c r="AM456"/>
  <c r="AL456"/>
  <c r="AH456"/>
  <c r="AU455"/>
  <c r="AT455"/>
  <c r="AR455"/>
  <c r="AQ455"/>
  <c r="AP455"/>
  <c r="AO455"/>
  <c r="AM455"/>
  <c r="AL455"/>
  <c r="AH455"/>
  <c r="AU454"/>
  <c r="AT454"/>
  <c r="AR454"/>
  <c r="AQ454"/>
  <c r="AP454"/>
  <c r="AO454"/>
  <c r="AM454"/>
  <c r="AL454"/>
  <c r="AH454"/>
  <c r="AU453"/>
  <c r="AT453"/>
  <c r="AR453"/>
  <c r="AQ453"/>
  <c r="AP453"/>
  <c r="AO453"/>
  <c r="AM453"/>
  <c r="AL453"/>
  <c r="AU451"/>
  <c r="AT451"/>
  <c r="AR451"/>
  <c r="AQ451"/>
  <c r="AP451"/>
  <c r="AO451"/>
  <c r="AM451"/>
  <c r="AL451"/>
  <c r="AH451"/>
  <c r="AU450"/>
  <c r="AT450"/>
  <c r="AR450"/>
  <c r="AQ450"/>
  <c r="AP450"/>
  <c r="AO450"/>
  <c r="AM450"/>
  <c r="AL450"/>
  <c r="AH450"/>
  <c r="AU448"/>
  <c r="AT448"/>
  <c r="AR448"/>
  <c r="AQ448"/>
  <c r="AP448"/>
  <c r="AO448"/>
  <c r="AM448"/>
  <c r="AL448"/>
  <c r="AH448"/>
  <c r="AU447"/>
  <c r="AT447"/>
  <c r="AR447"/>
  <c r="AQ447"/>
  <c r="AP447"/>
  <c r="AO447"/>
  <c r="AM447"/>
  <c r="AL447"/>
  <c r="AH447"/>
  <c r="AU446"/>
  <c r="AT446"/>
  <c r="AR446"/>
  <c r="AQ446"/>
  <c r="AP446"/>
  <c r="AO446"/>
  <c r="AN446"/>
  <c r="AM446"/>
  <c r="AL446"/>
  <c r="AH446"/>
  <c r="AU445"/>
  <c r="AT445"/>
  <c r="AR445"/>
  <c r="AQ445"/>
  <c r="AP445"/>
  <c r="AO445"/>
  <c r="AM445"/>
  <c r="AL445"/>
  <c r="AH445"/>
  <c r="AU444"/>
  <c r="AT444"/>
  <c r="AR444"/>
  <c r="AQ444"/>
  <c r="AP444"/>
  <c r="AO444"/>
  <c r="AM444"/>
  <c r="AL444"/>
  <c r="AH444"/>
  <c r="AU443"/>
  <c r="AT443"/>
  <c r="AR443"/>
  <c r="AQ443"/>
  <c r="AP443"/>
  <c r="AO443"/>
  <c r="AM443"/>
  <c r="AL443"/>
  <c r="AH443"/>
  <c r="AU442"/>
  <c r="AT442"/>
  <c r="AR442"/>
  <c r="AQ442"/>
  <c r="AP442"/>
  <c r="AO442"/>
  <c r="AM442"/>
  <c r="AL442"/>
  <c r="AH442"/>
  <c r="AU440"/>
  <c r="AT440"/>
  <c r="AR440"/>
  <c r="AQ440"/>
  <c r="AP440"/>
  <c r="AO440"/>
  <c r="AN440"/>
  <c r="AM440"/>
  <c r="AL440"/>
  <c r="AH440"/>
  <c r="AU439"/>
  <c r="AT439"/>
  <c r="AR439"/>
  <c r="AQ439"/>
  <c r="AP439"/>
  <c r="AO439"/>
  <c r="AM439"/>
  <c r="AL439"/>
  <c r="AH439"/>
  <c r="AU438"/>
  <c r="AT438"/>
  <c r="AR438"/>
  <c r="AQ438"/>
  <c r="AP438"/>
  <c r="AO438"/>
  <c r="AM438"/>
  <c r="AL438"/>
  <c r="AH438"/>
  <c r="AU437"/>
  <c r="AT437"/>
  <c r="AR437"/>
  <c r="AQ437"/>
  <c r="AP437"/>
  <c r="AO437"/>
  <c r="AM437"/>
  <c r="AL437"/>
  <c r="Z437"/>
  <c r="AU436"/>
  <c r="AT436"/>
  <c r="AR436"/>
  <c r="AQ436"/>
  <c r="AP436"/>
  <c r="AO436"/>
  <c r="AM436"/>
  <c r="AL436"/>
  <c r="Z436"/>
  <c r="AU435"/>
  <c r="AT435"/>
  <c r="AR435"/>
  <c r="AQ435"/>
  <c r="AP435"/>
  <c r="AO435"/>
  <c r="AM435"/>
  <c r="AL435"/>
  <c r="Z435"/>
  <c r="AU434"/>
  <c r="AT434"/>
  <c r="AR434"/>
  <c r="AQ434"/>
  <c r="AP434"/>
  <c r="AO434"/>
  <c r="AM434"/>
  <c r="AL434"/>
  <c r="Z434"/>
  <c r="AU433"/>
  <c r="AT433"/>
  <c r="AR433"/>
  <c r="AQ433"/>
  <c r="AP433"/>
  <c r="AO433"/>
  <c r="AM433"/>
  <c r="AL433"/>
  <c r="Z433"/>
  <c r="AU432"/>
  <c r="AT432"/>
  <c r="AR432"/>
  <c r="AQ432"/>
  <c r="AP432"/>
  <c r="AO432"/>
  <c r="AM432"/>
  <c r="AL432"/>
  <c r="Z432"/>
  <c r="AU431"/>
  <c r="AT431"/>
  <c r="AR431"/>
  <c r="AQ431"/>
  <c r="AP431"/>
  <c r="AO431"/>
  <c r="AM431"/>
  <c r="AL431"/>
  <c r="Z431"/>
  <c r="AU430"/>
  <c r="AT430"/>
  <c r="AR430"/>
  <c r="AQ430"/>
  <c r="AP430"/>
  <c r="AO430"/>
  <c r="AM430"/>
  <c r="AL430"/>
  <c r="Z430"/>
  <c r="AU429"/>
  <c r="AT429"/>
  <c r="AR429"/>
  <c r="AQ429"/>
  <c r="AP429"/>
  <c r="AO429"/>
  <c r="AM429"/>
  <c r="AL429"/>
  <c r="Z429"/>
  <c r="AU428"/>
  <c r="AT428"/>
  <c r="AR428"/>
  <c r="AQ428"/>
  <c r="AP428"/>
  <c r="AO428"/>
  <c r="AM428"/>
  <c r="AL428"/>
  <c r="Z428"/>
  <c r="AU427"/>
  <c r="AT427"/>
  <c r="AR427"/>
  <c r="AQ427"/>
  <c r="AP427"/>
  <c r="AO427"/>
  <c r="AM427"/>
  <c r="AL427"/>
  <c r="Z427"/>
  <c r="AU426"/>
  <c r="AT426"/>
  <c r="AR426"/>
  <c r="AQ426"/>
  <c r="AP426"/>
  <c r="AO426"/>
  <c r="AM426"/>
  <c r="AL426"/>
  <c r="Z426"/>
  <c r="AU425"/>
  <c r="AT425"/>
  <c r="AR425"/>
  <c r="AQ425"/>
  <c r="AP425"/>
  <c r="AO425"/>
  <c r="AM425"/>
  <c r="AL425"/>
  <c r="Z425"/>
  <c r="AU423"/>
  <c r="AT423"/>
  <c r="AR423"/>
  <c r="AQ423"/>
  <c r="AP423"/>
  <c r="AO423"/>
  <c r="AN423"/>
  <c r="AM423"/>
  <c r="AL423"/>
  <c r="Z423"/>
  <c r="AU422"/>
  <c r="AT422"/>
  <c r="AR422"/>
  <c r="AQ422"/>
  <c r="AP422"/>
  <c r="AO422"/>
  <c r="AM422"/>
  <c r="AL422"/>
  <c r="Z422"/>
  <c r="AU421"/>
  <c r="AT421"/>
  <c r="AR421"/>
  <c r="AQ421"/>
  <c r="AP421"/>
  <c r="AO421"/>
  <c r="AM421"/>
  <c r="AL421"/>
  <c r="Z421"/>
  <c r="AU420"/>
  <c r="AT420"/>
  <c r="AR420"/>
  <c r="AQ420"/>
  <c r="AP420"/>
  <c r="AO420"/>
  <c r="AM420"/>
  <c r="AL420"/>
  <c r="Z420"/>
  <c r="AU419"/>
  <c r="AT419"/>
  <c r="AR419"/>
  <c r="AQ419"/>
  <c r="AP419"/>
  <c r="AO419"/>
  <c r="AN419"/>
  <c r="AM419"/>
  <c r="AL419"/>
  <c r="Z419"/>
  <c r="AU418"/>
  <c r="AT418"/>
  <c r="AR418"/>
  <c r="AQ418"/>
  <c r="AP418"/>
  <c r="AO418"/>
  <c r="AM418"/>
  <c r="AL418"/>
  <c r="Z418"/>
  <c r="AU417"/>
  <c r="AT417"/>
  <c r="AR417"/>
  <c r="AQ417"/>
  <c r="AP417"/>
  <c r="AO417"/>
  <c r="AM417"/>
  <c r="AL417"/>
  <c r="Z417"/>
  <c r="AU416"/>
  <c r="AT416"/>
  <c r="AR416"/>
  <c r="AQ416"/>
  <c r="AP416"/>
  <c r="AO416"/>
  <c r="AN416"/>
  <c r="AM416"/>
  <c r="AL416"/>
  <c r="Z416"/>
  <c r="AU415"/>
  <c r="AT415"/>
  <c r="AR415"/>
  <c r="AQ415"/>
  <c r="AP415"/>
  <c r="AO415"/>
  <c r="AM415"/>
  <c r="AL415"/>
  <c r="Z415"/>
  <c r="AU414"/>
  <c r="AT414"/>
  <c r="AR414"/>
  <c r="AQ414"/>
  <c r="AP414"/>
  <c r="AO414"/>
  <c r="AM414"/>
  <c r="AL414"/>
  <c r="Z414"/>
  <c r="AU410"/>
  <c r="AT410"/>
  <c r="AR410"/>
  <c r="AQ410"/>
  <c r="AP410"/>
  <c r="AO410"/>
  <c r="AM410"/>
  <c r="AL410"/>
  <c r="Z410"/>
  <c r="AU409"/>
  <c r="AT409"/>
  <c r="AR409"/>
  <c r="AQ409"/>
  <c r="AP409"/>
  <c r="AO409"/>
  <c r="AM409"/>
  <c r="AL409"/>
  <c r="Z409"/>
  <c r="AU408"/>
  <c r="AT408"/>
  <c r="AR408"/>
  <c r="AQ408"/>
  <c r="AP408"/>
  <c r="AO408"/>
  <c r="AM408"/>
  <c r="AL408"/>
  <c r="Z408"/>
  <c r="AU407"/>
  <c r="AT407"/>
  <c r="AR407"/>
  <c r="AQ407"/>
  <c r="AP407"/>
  <c r="AO407"/>
  <c r="AM407"/>
  <c r="AL407"/>
  <c r="Z407"/>
  <c r="AU406"/>
  <c r="AT406"/>
  <c r="AR406"/>
  <c r="AQ406"/>
  <c r="AP406"/>
  <c r="AO406"/>
  <c r="AM406"/>
  <c r="AL406"/>
  <c r="Z406"/>
  <c r="AU404"/>
  <c r="AT404"/>
  <c r="AR404"/>
  <c r="AQ404"/>
  <c r="AP404"/>
  <c r="AO404"/>
  <c r="AN404"/>
  <c r="AM404"/>
  <c r="AL404"/>
  <c r="Z404"/>
  <c r="AU403"/>
  <c r="AT403"/>
  <c r="AR403"/>
  <c r="AQ403"/>
  <c r="AP403"/>
  <c r="AO403"/>
  <c r="AN403"/>
  <c r="AM403"/>
  <c r="AL403"/>
  <c r="Z403"/>
  <c r="AU402"/>
  <c r="AT402"/>
  <c r="AR402"/>
  <c r="AQ402"/>
  <c r="AP402"/>
  <c r="AO402"/>
  <c r="AM402"/>
  <c r="AL402"/>
  <c r="Z402"/>
  <c r="AU401"/>
  <c r="AT401"/>
  <c r="AR401"/>
  <c r="AQ401"/>
  <c r="AP401"/>
  <c r="AO401"/>
  <c r="AN401"/>
  <c r="AM401"/>
  <c r="AL401"/>
  <c r="Z401"/>
  <c r="AU400"/>
  <c r="AT400"/>
  <c r="AR400"/>
  <c r="AQ400"/>
  <c r="AP400"/>
  <c r="AO400"/>
  <c r="AN400"/>
  <c r="AM400"/>
  <c r="AL400"/>
  <c r="Z400"/>
  <c r="AU399"/>
  <c r="AT399"/>
  <c r="AR399"/>
  <c r="AQ399"/>
  <c r="AP399"/>
  <c r="AO399"/>
  <c r="AM399"/>
  <c r="AL399"/>
  <c r="Z399"/>
  <c r="AU398"/>
  <c r="AT398"/>
  <c r="AR398"/>
  <c r="AQ398"/>
  <c r="AP398"/>
  <c r="AO398"/>
  <c r="AM398"/>
  <c r="AL398"/>
  <c r="Z398"/>
  <c r="AU397"/>
  <c r="AT397"/>
  <c r="AR397"/>
  <c r="AQ397"/>
  <c r="AP397"/>
  <c r="AO397"/>
  <c r="AM397"/>
  <c r="AL397"/>
  <c r="Z397"/>
  <c r="AU395"/>
  <c r="AT395"/>
  <c r="AR395"/>
  <c r="AQ395"/>
  <c r="AP395"/>
  <c r="AO395"/>
  <c r="AN395"/>
  <c r="AM395"/>
  <c r="AL395"/>
  <c r="Z395"/>
  <c r="AU394"/>
  <c r="AT394"/>
  <c r="AR394"/>
  <c r="AQ394"/>
  <c r="AP394"/>
  <c r="AO394"/>
  <c r="AM394"/>
  <c r="AL394"/>
  <c r="Z394"/>
  <c r="AU393"/>
  <c r="AT393"/>
  <c r="AR393"/>
  <c r="AQ393"/>
  <c r="AP393"/>
  <c r="AO393"/>
  <c r="AM393"/>
  <c r="AL393"/>
  <c r="Z393"/>
  <c r="AU392"/>
  <c r="AT392"/>
  <c r="AR392"/>
  <c r="AQ392"/>
  <c r="AP392"/>
  <c r="AO392"/>
  <c r="AM392"/>
  <c r="AL392"/>
  <c r="Z392"/>
  <c r="AU391"/>
  <c r="AT391"/>
  <c r="AR391"/>
  <c r="AQ391"/>
  <c r="AP391"/>
  <c r="AO391"/>
  <c r="AM391"/>
  <c r="AL391"/>
  <c r="Z391"/>
  <c r="AU390"/>
  <c r="AT390"/>
  <c r="AR390"/>
  <c r="AQ390"/>
  <c r="AP390"/>
  <c r="AO390"/>
  <c r="AM390"/>
  <c r="AL390"/>
  <c r="Z390"/>
  <c r="AU389"/>
  <c r="AT389"/>
  <c r="AR389"/>
  <c r="AQ389"/>
  <c r="AP389"/>
  <c r="AO389"/>
  <c r="AM389"/>
  <c r="AL389"/>
  <c r="Z389"/>
  <c r="AU388"/>
  <c r="AT388"/>
  <c r="AR388"/>
  <c r="AQ388"/>
  <c r="AP388"/>
  <c r="AO388"/>
  <c r="AN388"/>
  <c r="AM388"/>
  <c r="AL388"/>
  <c r="Z388"/>
  <c r="AU387"/>
  <c r="AT387"/>
  <c r="AR387"/>
  <c r="AQ387"/>
  <c r="AP387"/>
  <c r="AO387"/>
  <c r="AM387"/>
  <c r="AL387"/>
  <c r="Z387"/>
  <c r="AU386"/>
  <c r="AT386"/>
  <c r="AR386"/>
  <c r="AQ386"/>
  <c r="AP386"/>
  <c r="AO386"/>
  <c r="AM386"/>
  <c r="AL386"/>
  <c r="Z386"/>
  <c r="AU384"/>
  <c r="AT384"/>
  <c r="AR384"/>
  <c r="AQ384"/>
  <c r="AP384"/>
  <c r="AO384"/>
  <c r="AM384"/>
  <c r="AL384"/>
  <c r="Z384"/>
  <c r="AU383"/>
  <c r="AT383"/>
  <c r="AR383"/>
  <c r="AQ383"/>
  <c r="AP383"/>
  <c r="AO383"/>
  <c r="AM383"/>
  <c r="AL383"/>
  <c r="Z383"/>
  <c r="AU382"/>
  <c r="AT382"/>
  <c r="AR382"/>
  <c r="AQ382"/>
  <c r="AP382"/>
  <c r="AO382"/>
  <c r="AM382"/>
  <c r="AL382"/>
  <c r="Z382"/>
  <c r="AU381"/>
  <c r="AT381"/>
  <c r="AR381"/>
  <c r="AQ381"/>
  <c r="AP381"/>
  <c r="AO381"/>
  <c r="AM381"/>
  <c r="AL381"/>
  <c r="Z381"/>
  <c r="AU380"/>
  <c r="AT380"/>
  <c r="AR380"/>
  <c r="AQ380"/>
  <c r="AP380"/>
  <c r="AO380"/>
  <c r="AM380"/>
  <c r="AL380"/>
  <c r="Z380"/>
  <c r="AU379"/>
  <c r="AT379"/>
  <c r="AR379"/>
  <c r="AQ379"/>
  <c r="AP379"/>
  <c r="AO379"/>
  <c r="AM379"/>
  <c r="AL379"/>
  <c r="Z379"/>
  <c r="AU378"/>
  <c r="AT378"/>
  <c r="AR378"/>
  <c r="AQ378"/>
  <c r="AP378"/>
  <c r="AO378"/>
  <c r="AM378"/>
  <c r="AL378"/>
  <c r="Z378"/>
  <c r="AU377"/>
  <c r="AT377"/>
  <c r="AR377"/>
  <c r="AQ377"/>
  <c r="AP377"/>
  <c r="AO377"/>
  <c r="AN377"/>
  <c r="AM377"/>
  <c r="AL377"/>
  <c r="Z377"/>
  <c r="AU376"/>
  <c r="AT376"/>
  <c r="AR376"/>
  <c r="AQ376"/>
  <c r="AP376"/>
  <c r="AO376"/>
  <c r="AM376"/>
  <c r="AL376"/>
  <c r="Z376"/>
  <c r="AU375"/>
  <c r="AT375"/>
  <c r="AR375"/>
  <c r="AQ375"/>
  <c r="AP375"/>
  <c r="AO375"/>
  <c r="AM375"/>
  <c r="AL375"/>
  <c r="Z375"/>
  <c r="AU374"/>
  <c r="AT374"/>
  <c r="AR374"/>
  <c r="AQ374"/>
  <c r="AP374"/>
  <c r="AO374"/>
  <c r="AM374"/>
  <c r="AL374"/>
  <c r="Z374"/>
  <c r="AU373"/>
  <c r="AT373"/>
  <c r="AR373"/>
  <c r="AQ373"/>
  <c r="AP373"/>
  <c r="AO373"/>
  <c r="AM373"/>
  <c r="AL373"/>
  <c r="Z373"/>
  <c r="AU372"/>
  <c r="AT372"/>
  <c r="AR372"/>
  <c r="AQ372"/>
  <c r="AP372"/>
  <c r="AO372"/>
  <c r="AM372"/>
  <c r="AL372"/>
  <c r="Z372"/>
  <c r="AU371"/>
  <c r="AT371"/>
  <c r="AR371"/>
  <c r="AQ371"/>
  <c r="AP371"/>
  <c r="AO371"/>
  <c r="AM371"/>
  <c r="AL371"/>
  <c r="Z371"/>
  <c r="AU370"/>
  <c r="AT370"/>
  <c r="AR370"/>
  <c r="AQ370"/>
  <c r="AP370"/>
  <c r="AO370"/>
  <c r="AM370"/>
  <c r="AL370"/>
  <c r="Z370"/>
  <c r="AU369"/>
  <c r="AT369"/>
  <c r="AR369"/>
  <c r="AQ369"/>
  <c r="AP369"/>
  <c r="AO369"/>
  <c r="AM369"/>
  <c r="AL369"/>
  <c r="Z369"/>
  <c r="AU368"/>
  <c r="AT368"/>
  <c r="AR368"/>
  <c r="AQ368"/>
  <c r="AP368"/>
  <c r="AO368"/>
  <c r="AM368"/>
  <c r="AL368"/>
  <c r="Z368"/>
  <c r="AU367"/>
  <c r="AT367"/>
  <c r="AR367"/>
  <c r="AQ367"/>
  <c r="AP367"/>
  <c r="AO367"/>
  <c r="AM367"/>
  <c r="AL367"/>
  <c r="Z367"/>
  <c r="AU366"/>
  <c r="AT366"/>
  <c r="AR366"/>
  <c r="AQ366"/>
  <c r="AP366"/>
  <c r="AO366"/>
  <c r="AN366"/>
  <c r="AM366"/>
  <c r="AL366"/>
  <c r="Z366"/>
  <c r="AU365"/>
  <c r="AT365"/>
  <c r="AR365"/>
  <c r="AQ365"/>
  <c r="AP365"/>
  <c r="AO365"/>
  <c r="AM365"/>
  <c r="AL365"/>
  <c r="Z365"/>
  <c r="AU361"/>
  <c r="AT361"/>
  <c r="AR361"/>
  <c r="AQ361"/>
  <c r="AP361"/>
  <c r="AO361"/>
  <c r="AM361"/>
  <c r="AL361"/>
  <c r="Z361"/>
  <c r="AU359"/>
  <c r="AT359"/>
  <c r="AR359"/>
  <c r="AQ359"/>
  <c r="AP359"/>
  <c r="AO359"/>
  <c r="AM359"/>
  <c r="AL359"/>
  <c r="Z359"/>
  <c r="AU358"/>
  <c r="AT358"/>
  <c r="AR358"/>
  <c r="AQ358"/>
  <c r="AP358"/>
  <c r="AO358"/>
  <c r="AM358"/>
  <c r="AL358"/>
  <c r="Z358"/>
  <c r="AU357"/>
  <c r="AT357"/>
  <c r="AR357"/>
  <c r="AQ357"/>
  <c r="AP357"/>
  <c r="AO357"/>
  <c r="AM357"/>
  <c r="AL357"/>
  <c r="Z357"/>
  <c r="AU356"/>
  <c r="AT356"/>
  <c r="AR356"/>
  <c r="AQ356"/>
  <c r="AP356"/>
  <c r="AO356"/>
  <c r="AN356"/>
  <c r="AM356"/>
  <c r="AL356"/>
  <c r="Z356"/>
  <c r="AU355"/>
  <c r="AT355"/>
  <c r="AR355"/>
  <c r="AQ355"/>
  <c r="AP355"/>
  <c r="AO355"/>
  <c r="AM355"/>
  <c r="AL355"/>
  <c r="Z355"/>
  <c r="AU354"/>
  <c r="AT354"/>
  <c r="AR354"/>
  <c r="AQ354"/>
  <c r="AP354"/>
  <c r="AO354"/>
  <c r="AM354"/>
  <c r="AL354"/>
  <c r="Z354"/>
  <c r="AU353"/>
  <c r="AT353"/>
  <c r="AR353"/>
  <c r="AQ353"/>
  <c r="AP353"/>
  <c r="AO353"/>
  <c r="AM353"/>
  <c r="AL353"/>
  <c r="Z353"/>
  <c r="AU352"/>
  <c r="AT352"/>
  <c r="AR352"/>
  <c r="AQ352"/>
  <c r="AP352"/>
  <c r="AO352"/>
  <c r="AN352"/>
  <c r="AM352"/>
  <c r="AL352"/>
  <c r="Z352"/>
  <c r="AU351"/>
  <c r="AT351"/>
  <c r="AR351"/>
  <c r="AQ351"/>
  <c r="AP351"/>
  <c r="AO351"/>
  <c r="AM351"/>
  <c r="AL351"/>
  <c r="Z351"/>
  <c r="AU350"/>
  <c r="AT350"/>
  <c r="AR350"/>
  <c r="AQ350"/>
  <c r="AP350"/>
  <c r="AO350"/>
  <c r="AM350"/>
  <c r="AL350"/>
  <c r="Z350"/>
  <c r="AU349"/>
  <c r="AT349"/>
  <c r="AR349"/>
  <c r="AQ349"/>
  <c r="AP349"/>
  <c r="AO349"/>
  <c r="AM349"/>
  <c r="AL349"/>
  <c r="Z349"/>
  <c r="AU348"/>
  <c r="AT348"/>
  <c r="AR348"/>
  <c r="AQ348"/>
  <c r="AP348"/>
  <c r="AO348"/>
  <c r="AM348"/>
  <c r="AL348"/>
  <c r="Z348"/>
  <c r="AU347"/>
  <c r="AT347"/>
  <c r="AR347"/>
  <c r="AQ347"/>
  <c r="AP347"/>
  <c r="AO347"/>
  <c r="AM347"/>
  <c r="AL347"/>
  <c r="Z347"/>
  <c r="AU345"/>
  <c r="AT345"/>
  <c r="AR345"/>
  <c r="AQ345"/>
  <c r="AP345"/>
  <c r="AO345"/>
  <c r="AN345"/>
  <c r="AM345"/>
  <c r="AL345"/>
  <c r="Z345"/>
  <c r="AU343"/>
  <c r="AT343"/>
  <c r="AR343"/>
  <c r="AQ343"/>
  <c r="AP343"/>
  <c r="AO343"/>
  <c r="AM343"/>
  <c r="AL343"/>
  <c r="Z343"/>
  <c r="AU342"/>
  <c r="AT342"/>
  <c r="AR342"/>
  <c r="AQ342"/>
  <c r="AP342"/>
  <c r="AO342"/>
  <c r="AM342"/>
  <c r="AL342"/>
  <c r="Z342"/>
  <c r="AU341"/>
  <c r="AT341"/>
  <c r="AR341"/>
  <c r="AQ341"/>
  <c r="AP341"/>
  <c r="AO341"/>
  <c r="AM341"/>
  <c r="AL341"/>
  <c r="Z341"/>
  <c r="AU337"/>
  <c r="AT337"/>
  <c r="AR337"/>
  <c r="AQ337"/>
  <c r="AP337"/>
  <c r="AO337"/>
  <c r="AM337"/>
  <c r="AL337"/>
  <c r="Z337"/>
  <c r="AU336"/>
  <c r="AT336"/>
  <c r="AR336"/>
  <c r="AQ336"/>
  <c r="AP336"/>
  <c r="AO336"/>
  <c r="AM336"/>
  <c r="AL336"/>
  <c r="Z336"/>
  <c r="AU335"/>
  <c r="AT335"/>
  <c r="AR335"/>
  <c r="AQ335"/>
  <c r="AP335"/>
  <c r="AO335"/>
  <c r="AM335"/>
  <c r="AL335"/>
  <c r="Z335"/>
  <c r="AU334"/>
  <c r="AT334"/>
  <c r="AR334"/>
  <c r="AQ334"/>
  <c r="AP334"/>
  <c r="AO334"/>
  <c r="AM334"/>
  <c r="AL334"/>
  <c r="Z334"/>
  <c r="AU333"/>
  <c r="AT333"/>
  <c r="AR333"/>
  <c r="AQ333"/>
  <c r="AP333"/>
  <c r="AO333"/>
  <c r="AM333"/>
  <c r="AL333"/>
  <c r="Z333"/>
  <c r="AU331"/>
  <c r="AT331"/>
  <c r="AR331"/>
  <c r="AQ331"/>
  <c r="AP331"/>
  <c r="AO331"/>
  <c r="AM331"/>
  <c r="AL331"/>
  <c r="Z331"/>
  <c r="AU330"/>
  <c r="AT330"/>
  <c r="AR330"/>
  <c r="AQ330"/>
  <c r="AP330"/>
  <c r="AO330"/>
  <c r="AM330"/>
  <c r="AL330"/>
  <c r="Z330"/>
  <c r="AU329"/>
  <c r="AT329"/>
  <c r="AR329"/>
  <c r="AQ329"/>
  <c r="AP329"/>
  <c r="AO329"/>
  <c r="AM329"/>
  <c r="AL329"/>
  <c r="Z329"/>
  <c r="AU328"/>
  <c r="AT328"/>
  <c r="AR328"/>
  <c r="AQ328"/>
  <c r="AP328"/>
  <c r="AO328"/>
  <c r="AM328"/>
  <c r="AL328"/>
  <c r="Z328"/>
  <c r="AU327"/>
  <c r="AT327"/>
  <c r="AR327"/>
  <c r="AQ327"/>
  <c r="AP327"/>
  <c r="AO327"/>
  <c r="AM327"/>
  <c r="AL327"/>
  <c r="Z327"/>
  <c r="AU326"/>
  <c r="AT326"/>
  <c r="AR326"/>
  <c r="AQ326"/>
  <c r="AP326"/>
  <c r="AO326"/>
  <c r="AM326"/>
  <c r="AL326"/>
  <c r="Z326"/>
  <c r="AU324"/>
  <c r="AT324"/>
  <c r="AR324"/>
  <c r="AQ324"/>
  <c r="AP324"/>
  <c r="AO324"/>
  <c r="AN324"/>
  <c r="AM324"/>
  <c r="AL324"/>
  <c r="Z324"/>
  <c r="AU323"/>
  <c r="AT323"/>
  <c r="AR323"/>
  <c r="AQ323"/>
  <c r="AP323"/>
  <c r="AO323"/>
  <c r="AM323"/>
  <c r="AL323"/>
  <c r="Z323"/>
  <c r="AU321"/>
  <c r="AT321"/>
  <c r="AR321"/>
  <c r="AQ321"/>
  <c r="AP321"/>
  <c r="AO321"/>
  <c r="AM321"/>
  <c r="AL321"/>
  <c r="Z321"/>
  <c r="AU320"/>
  <c r="AT320"/>
  <c r="AR320"/>
  <c r="AQ320"/>
  <c r="AP320"/>
  <c r="AO320"/>
  <c r="AM320"/>
  <c r="AL320"/>
  <c r="Z320"/>
  <c r="AU315"/>
  <c r="AT315"/>
  <c r="AR315"/>
  <c r="AQ315"/>
  <c r="AP315"/>
  <c r="AO315"/>
  <c r="AM315"/>
  <c r="AL315"/>
  <c r="Z315"/>
  <c r="AU314"/>
  <c r="AT314"/>
  <c r="AR314"/>
  <c r="AQ314"/>
  <c r="AP314"/>
  <c r="AO314"/>
  <c r="AM314"/>
  <c r="AL314"/>
  <c r="Z314"/>
  <c r="AU313"/>
  <c r="AT313"/>
  <c r="AR313"/>
  <c r="AQ313"/>
  <c r="AP313"/>
  <c r="AO313"/>
  <c r="AN313"/>
  <c r="AM313"/>
  <c r="AL313"/>
  <c r="Z313"/>
  <c r="AU312"/>
  <c r="AT312"/>
  <c r="AR312"/>
  <c r="AQ312"/>
  <c r="AP312"/>
  <c r="AO312"/>
  <c r="AN312"/>
  <c r="AM312"/>
  <c r="AL312"/>
  <c r="Z312"/>
  <c r="AU311"/>
  <c r="AT311"/>
  <c r="AR311"/>
  <c r="AQ311"/>
  <c r="AP311"/>
  <c r="AO311"/>
  <c r="AM311"/>
  <c r="AL311"/>
  <c r="Z311"/>
  <c r="AU310"/>
  <c r="AT310"/>
  <c r="AR310"/>
  <c r="AQ310"/>
  <c r="AP310"/>
  <c r="AO310"/>
  <c r="AM310"/>
  <c r="AL310"/>
  <c r="Z310"/>
  <c r="AU309"/>
  <c r="AT309"/>
  <c r="AR309"/>
  <c r="AQ309"/>
  <c r="AP309"/>
  <c r="AO309"/>
  <c r="AM309"/>
  <c r="AL309"/>
  <c r="Z309"/>
  <c r="AU308"/>
  <c r="AT308"/>
  <c r="AR308"/>
  <c r="AQ308"/>
  <c r="AP308"/>
  <c r="AO308"/>
  <c r="AM308"/>
  <c r="AL308"/>
  <c r="Z308"/>
  <c r="AU307"/>
  <c r="AT307"/>
  <c r="AR307"/>
  <c r="AQ307"/>
  <c r="AP307"/>
  <c r="AO307"/>
  <c r="AM307"/>
  <c r="AL307"/>
  <c r="Z307"/>
  <c r="AU306"/>
  <c r="AT306"/>
  <c r="AR306"/>
  <c r="AQ306"/>
  <c r="AP306"/>
  <c r="AO306"/>
  <c r="AM306"/>
  <c r="AL306"/>
  <c r="Z306"/>
  <c r="AU305"/>
  <c r="AT305"/>
  <c r="AR305"/>
  <c r="AQ305"/>
  <c r="AP305"/>
  <c r="AO305"/>
  <c r="AN305"/>
  <c r="AM305"/>
  <c r="AL305"/>
  <c r="Z305"/>
  <c r="AU304"/>
  <c r="AT304"/>
  <c r="AR304"/>
  <c r="AQ304"/>
  <c r="AP304"/>
  <c r="AO304"/>
  <c r="AM304"/>
  <c r="AL304"/>
  <c r="Z304"/>
  <c r="AU303"/>
  <c r="AT303"/>
  <c r="AR303"/>
  <c r="AQ303"/>
  <c r="AP303"/>
  <c r="AO303"/>
  <c r="AM303"/>
  <c r="AL303"/>
  <c r="Z303"/>
  <c r="AU302"/>
  <c r="AT302"/>
  <c r="AR302"/>
  <c r="AQ302"/>
  <c r="AP302"/>
  <c r="AO302"/>
  <c r="AM302"/>
  <c r="AL302"/>
  <c r="Z302"/>
  <c r="AU301"/>
  <c r="AT301"/>
  <c r="AR301"/>
  <c r="AQ301"/>
  <c r="AP301"/>
  <c r="AO301"/>
  <c r="AM301"/>
  <c r="AL301"/>
  <c r="Z301"/>
  <c r="AU300"/>
  <c r="AT300"/>
  <c r="AR300"/>
  <c r="AQ300"/>
  <c r="AP300"/>
  <c r="AO300"/>
  <c r="AN300"/>
  <c r="AM300"/>
  <c r="AL300"/>
  <c r="Z300"/>
  <c r="AU299"/>
  <c r="AT299"/>
  <c r="AR299"/>
  <c r="AQ299"/>
  <c r="AP299"/>
  <c r="AO299"/>
  <c r="AN299"/>
  <c r="AM299"/>
  <c r="AL299"/>
  <c r="Z299"/>
  <c r="AU298"/>
  <c r="AT298"/>
  <c r="AR298"/>
  <c r="AQ298"/>
  <c r="AP298"/>
  <c r="AO298"/>
  <c r="AN298"/>
  <c r="AM298"/>
  <c r="AL298"/>
  <c r="Z298"/>
  <c r="AU297"/>
  <c r="AT297"/>
  <c r="AR297"/>
  <c r="AQ297"/>
  <c r="AP297"/>
  <c r="AO297"/>
  <c r="AN297"/>
  <c r="AM297"/>
  <c r="AL297"/>
  <c r="Z297"/>
  <c r="AU296"/>
  <c r="AT296"/>
  <c r="AR296"/>
  <c r="AQ296"/>
  <c r="AP296"/>
  <c r="AO296"/>
  <c r="AN296"/>
  <c r="AM296"/>
  <c r="AL296"/>
  <c r="Z296"/>
  <c r="AU295"/>
  <c r="AT295"/>
  <c r="AR295"/>
  <c r="AQ295"/>
  <c r="AP295"/>
  <c r="AO295"/>
  <c r="AN295"/>
  <c r="AM295"/>
  <c r="AL295"/>
  <c r="Z295"/>
  <c r="AU294"/>
  <c r="AT294"/>
  <c r="AR294"/>
  <c r="AQ294"/>
  <c r="AP294"/>
  <c r="AO294"/>
  <c r="AN294"/>
  <c r="AM294"/>
  <c r="AL294"/>
  <c r="Z294"/>
  <c r="AU293"/>
  <c r="AT293"/>
  <c r="AR293"/>
  <c r="AQ293"/>
  <c r="AP293"/>
  <c r="AO293"/>
  <c r="AN293"/>
  <c r="AM293"/>
  <c r="AL293"/>
  <c r="Z293"/>
  <c r="AU292"/>
  <c r="AT292"/>
  <c r="AR292"/>
  <c r="AQ292"/>
  <c r="AP292"/>
  <c r="AO292"/>
  <c r="AM292"/>
  <c r="AL292"/>
  <c r="Z292"/>
  <c r="AU291"/>
  <c r="AT291"/>
  <c r="AR291"/>
  <c r="AQ291"/>
  <c r="AP291"/>
  <c r="AO291"/>
  <c r="AN291"/>
  <c r="AM291"/>
  <c r="AL291"/>
  <c r="Z291"/>
  <c r="AU290"/>
  <c r="AT290"/>
  <c r="AR290"/>
  <c r="AQ290"/>
  <c r="AP290"/>
  <c r="AO290"/>
  <c r="AN290"/>
  <c r="AM290"/>
  <c r="AL290"/>
  <c r="Z290"/>
  <c r="AU289"/>
  <c r="AT289"/>
  <c r="AR289"/>
  <c r="AQ289"/>
  <c r="AP289"/>
  <c r="AO289"/>
  <c r="AN289"/>
  <c r="AM289"/>
  <c r="AL289"/>
  <c r="Z289"/>
  <c r="AU288"/>
  <c r="AT288"/>
  <c r="AR288"/>
  <c r="AQ288"/>
  <c r="AP288"/>
  <c r="AO288"/>
  <c r="AN288"/>
  <c r="AM288"/>
  <c r="AL288"/>
  <c r="Z288"/>
  <c r="AU287"/>
  <c r="AT287"/>
  <c r="AR287"/>
  <c r="AQ287"/>
  <c r="AP287"/>
  <c r="AO287"/>
  <c r="AN287"/>
  <c r="AM287"/>
  <c r="AL287"/>
  <c r="Z287"/>
  <c r="AU286"/>
  <c r="AT286"/>
  <c r="AR286"/>
  <c r="AQ286"/>
  <c r="AP286"/>
  <c r="AO286"/>
  <c r="AN286"/>
  <c r="AM286"/>
  <c r="AL286"/>
  <c r="Z286"/>
  <c r="AU285"/>
  <c r="AT285"/>
  <c r="AR285"/>
  <c r="AQ285"/>
  <c r="AP285"/>
  <c r="AO285"/>
  <c r="AN285"/>
  <c r="AM285"/>
  <c r="AL285"/>
  <c r="Z285"/>
  <c r="AU284"/>
  <c r="AT284"/>
  <c r="AR284"/>
  <c r="AQ284"/>
  <c r="AP284"/>
  <c r="AO284"/>
  <c r="AN284"/>
  <c r="AM284"/>
  <c r="AL284"/>
  <c r="Z284"/>
  <c r="AU283"/>
  <c r="AT283"/>
  <c r="AR283"/>
  <c r="AQ283"/>
  <c r="AP283"/>
  <c r="AO283"/>
  <c r="AM283"/>
  <c r="AL283"/>
  <c r="Z283"/>
  <c r="AU282"/>
  <c r="AT282"/>
  <c r="AR282"/>
  <c r="AQ282"/>
  <c r="AP282"/>
  <c r="AO282"/>
  <c r="AN282"/>
  <c r="AM282"/>
  <c r="AL282"/>
  <c r="Z282"/>
  <c r="AU280"/>
  <c r="AT280"/>
  <c r="AR280"/>
  <c r="AQ280"/>
  <c r="AP280"/>
  <c r="AO280"/>
  <c r="AM280"/>
  <c r="AL280"/>
  <c r="Z280"/>
  <c r="AU278"/>
  <c r="AT278"/>
  <c r="AR278"/>
  <c r="AQ278"/>
  <c r="AP278"/>
  <c r="AO278"/>
  <c r="AM278"/>
  <c r="AL278"/>
  <c r="Z278"/>
  <c r="AU277"/>
  <c r="AT277"/>
  <c r="AR277"/>
  <c r="AQ277"/>
  <c r="AP277"/>
  <c r="AO277"/>
  <c r="AM277"/>
  <c r="AL277"/>
  <c r="Z277"/>
  <c r="AU276"/>
  <c r="AT276"/>
  <c r="AR276"/>
  <c r="AQ276"/>
  <c r="AP276"/>
  <c r="AO276"/>
  <c r="AM276"/>
  <c r="AL276"/>
  <c r="Z276"/>
  <c r="AU275"/>
  <c r="AT275"/>
  <c r="AR275"/>
  <c r="AQ275"/>
  <c r="AP275"/>
  <c r="AO275"/>
  <c r="AM275"/>
  <c r="AL275"/>
  <c r="Z275"/>
  <c r="AU274"/>
  <c r="AT274"/>
  <c r="AR274"/>
  <c r="AQ274"/>
  <c r="AP274"/>
  <c r="AO274"/>
  <c r="AM274"/>
  <c r="AL274"/>
  <c r="Z274"/>
  <c r="AU273"/>
  <c r="AT273"/>
  <c r="AR273"/>
  <c r="AQ273"/>
  <c r="AP273"/>
  <c r="AO273"/>
  <c r="AM273"/>
  <c r="AL273"/>
  <c r="Z273"/>
  <c r="AU272"/>
  <c r="AT272"/>
  <c r="AR272"/>
  <c r="AQ272"/>
  <c r="AP272"/>
  <c r="AO272"/>
  <c r="AM272"/>
  <c r="AL272"/>
  <c r="Z272"/>
  <c r="AU271"/>
  <c r="AT271"/>
  <c r="AR271"/>
  <c r="AQ271"/>
  <c r="AP271"/>
  <c r="AO271"/>
  <c r="AM271"/>
  <c r="AL271"/>
  <c r="Z271"/>
  <c r="AU270"/>
  <c r="AT270"/>
  <c r="AR270"/>
  <c r="AQ270"/>
  <c r="AP270"/>
  <c r="AO270"/>
  <c r="AM270"/>
  <c r="AL270"/>
  <c r="Z270"/>
  <c r="AU269"/>
  <c r="AT269"/>
  <c r="AR269"/>
  <c r="AQ269"/>
  <c r="AP269"/>
  <c r="AO269"/>
  <c r="AM269"/>
  <c r="AL269"/>
  <c r="Z269"/>
  <c r="AU268"/>
  <c r="AT268"/>
  <c r="AR268"/>
  <c r="AQ268"/>
  <c r="AP268"/>
  <c r="AO268"/>
  <c r="AN268"/>
  <c r="AM268"/>
  <c r="AL268"/>
  <c r="Z268"/>
  <c r="AU267"/>
  <c r="AT267"/>
  <c r="AR267"/>
  <c r="AQ267"/>
  <c r="AP267"/>
  <c r="AO267"/>
  <c r="AM267"/>
  <c r="AL267"/>
  <c r="Z267"/>
  <c r="AU266"/>
  <c r="AT266"/>
  <c r="AR266"/>
  <c r="AQ266"/>
  <c r="AP266"/>
  <c r="AO266"/>
  <c r="AM266"/>
  <c r="AL266"/>
  <c r="Z266"/>
  <c r="AU265"/>
  <c r="AT265"/>
  <c r="AR265"/>
  <c r="AQ265"/>
  <c r="AP265"/>
  <c r="AO265"/>
  <c r="AM265"/>
  <c r="AL265"/>
  <c r="Z265"/>
  <c r="AU264"/>
  <c r="AT264"/>
  <c r="AR264"/>
  <c r="AQ264"/>
  <c r="AP264"/>
  <c r="AO264"/>
  <c r="AM264"/>
  <c r="AL264"/>
  <c r="Z264"/>
  <c r="AU262"/>
  <c r="AT262"/>
  <c r="AR262"/>
  <c r="AQ262"/>
  <c r="AP262"/>
  <c r="AO262"/>
  <c r="AN262"/>
  <c r="AM262"/>
  <c r="AL262"/>
  <c r="Z262"/>
  <c r="AU261"/>
  <c r="AT261"/>
  <c r="AR261"/>
  <c r="AQ261"/>
  <c r="AP261"/>
  <c r="AO261"/>
  <c r="AM261"/>
  <c r="AL261"/>
  <c r="Z261"/>
  <c r="AU260"/>
  <c r="AT260"/>
  <c r="AR260"/>
  <c r="AQ260"/>
  <c r="AP260"/>
  <c r="AO260"/>
  <c r="AM260"/>
  <c r="AL260"/>
  <c r="Z260"/>
  <c r="AU259"/>
  <c r="AT259"/>
  <c r="AR259"/>
  <c r="AQ259"/>
  <c r="AP259"/>
  <c r="AO259"/>
  <c r="AM259"/>
  <c r="AL259"/>
  <c r="AU258"/>
  <c r="AT258"/>
  <c r="AR258"/>
  <c r="AQ258"/>
  <c r="AP258"/>
  <c r="AO258"/>
  <c r="AN258"/>
  <c r="AM258"/>
  <c r="AL258"/>
  <c r="AU257"/>
  <c r="AT257"/>
  <c r="AR257"/>
  <c r="AQ257"/>
  <c r="AP257"/>
  <c r="AO257"/>
  <c r="AM257"/>
  <c r="AL257"/>
  <c r="AU256"/>
  <c r="AT256"/>
  <c r="AR256"/>
  <c r="AQ256"/>
  <c r="AP256"/>
  <c r="AO256"/>
  <c r="AN256"/>
  <c r="AM256"/>
  <c r="AL256"/>
  <c r="AU255"/>
  <c r="AT255"/>
  <c r="AR255"/>
  <c r="AQ255"/>
  <c r="AP255"/>
  <c r="AO255"/>
  <c r="AN255"/>
  <c r="AM255"/>
  <c r="AL255"/>
  <c r="AU254"/>
  <c r="AT254"/>
  <c r="AR254"/>
  <c r="AQ254"/>
  <c r="AP254"/>
  <c r="AO254"/>
  <c r="AN254"/>
  <c r="AM254"/>
  <c r="AL254"/>
  <c r="AU253"/>
  <c r="AT253"/>
  <c r="AR253"/>
  <c r="AQ253"/>
  <c r="AP253"/>
  <c r="AO253"/>
  <c r="AM253"/>
  <c r="AL253"/>
  <c r="AU252"/>
  <c r="AT252"/>
  <c r="AR252"/>
  <c r="AQ252"/>
  <c r="AP252"/>
  <c r="AO252"/>
  <c r="AN252"/>
  <c r="AM252"/>
  <c r="AL252"/>
  <c r="AU251"/>
  <c r="AT251"/>
  <c r="AR251"/>
  <c r="AQ251"/>
  <c r="AP251"/>
  <c r="AO251"/>
  <c r="AM251"/>
  <c r="AL251"/>
  <c r="AU250"/>
  <c r="AT250"/>
  <c r="AR250"/>
  <c r="AQ250"/>
  <c r="AP250"/>
  <c r="AO250"/>
  <c r="AM250"/>
  <c r="AL250"/>
  <c r="AU249"/>
  <c r="AT249"/>
  <c r="AR249"/>
  <c r="AQ249"/>
  <c r="AP249"/>
  <c r="AO249"/>
  <c r="AM249"/>
  <c r="AL249"/>
  <c r="AU248"/>
  <c r="AT248"/>
  <c r="AR248"/>
  <c r="AQ248"/>
  <c r="AP248"/>
  <c r="AO248"/>
  <c r="AM248"/>
  <c r="AL248"/>
  <c r="AU247"/>
  <c r="AT247"/>
  <c r="AR247"/>
  <c r="AQ247"/>
  <c r="AP247"/>
  <c r="AO247"/>
  <c r="AN247"/>
  <c r="AM247"/>
  <c r="AL247"/>
  <c r="AU246"/>
  <c r="AT246"/>
  <c r="AR246"/>
  <c r="AQ246"/>
  <c r="AP246"/>
  <c r="AO246"/>
  <c r="AM246"/>
  <c r="AL246"/>
  <c r="AU245"/>
  <c r="AT245"/>
  <c r="AR245"/>
  <c r="AQ245"/>
  <c r="AP245"/>
  <c r="AO245"/>
  <c r="AM245"/>
  <c r="AL245"/>
  <c r="AU243"/>
  <c r="AT243"/>
  <c r="AR243"/>
  <c r="AQ243"/>
  <c r="AP243"/>
  <c r="AO243"/>
  <c r="AN243"/>
  <c r="AM243"/>
  <c r="AL243"/>
  <c r="AU242"/>
  <c r="AT242"/>
  <c r="AR242"/>
  <c r="AQ242"/>
  <c r="AP242"/>
  <c r="AO242"/>
  <c r="AN242"/>
  <c r="AM242"/>
  <c r="AL242"/>
  <c r="AU241"/>
  <c r="AT241"/>
  <c r="AR241"/>
  <c r="AQ241"/>
  <c r="AP241"/>
  <c r="AO241"/>
  <c r="AM241"/>
  <c r="AL241"/>
  <c r="AU240"/>
  <c r="AT240"/>
  <c r="AR240"/>
  <c r="AQ240"/>
  <c r="AP240"/>
  <c r="AO240"/>
  <c r="AM240"/>
  <c r="AL240"/>
  <c r="AU239"/>
  <c r="AT239"/>
  <c r="AR239"/>
  <c r="AQ239"/>
  <c r="AP239"/>
  <c r="AO239"/>
  <c r="AM239"/>
  <c r="AL239"/>
  <c r="AU238"/>
  <c r="AT238"/>
  <c r="AR238"/>
  <c r="AQ238"/>
  <c r="AP238"/>
  <c r="AO238"/>
  <c r="AM238"/>
  <c r="AL238"/>
  <c r="AU237"/>
  <c r="AT237"/>
  <c r="AR237"/>
  <c r="AQ237"/>
  <c r="AP237"/>
  <c r="AO237"/>
  <c r="AM237"/>
  <c r="AL237"/>
  <c r="AU236"/>
  <c r="AT236"/>
  <c r="AR236"/>
  <c r="AQ236"/>
  <c r="AP236"/>
  <c r="AO236"/>
  <c r="AN236"/>
  <c r="AM236"/>
  <c r="AL236"/>
  <c r="AU235"/>
  <c r="AT235"/>
  <c r="AR235"/>
  <c r="AQ235"/>
  <c r="AP235"/>
  <c r="AO235"/>
  <c r="AM235"/>
  <c r="AL235"/>
  <c r="Z235"/>
  <c r="AU234"/>
  <c r="AT234"/>
  <c r="AR234"/>
  <c r="AQ234"/>
  <c r="AP234"/>
  <c r="AO234"/>
  <c r="AM234"/>
  <c r="AL234"/>
  <c r="Z234"/>
  <c r="AU233"/>
  <c r="AT233"/>
  <c r="AR233"/>
  <c r="AQ233"/>
  <c r="AP233"/>
  <c r="AO233"/>
  <c r="AM233"/>
  <c r="AL233"/>
  <c r="Z233"/>
  <c r="AU232"/>
  <c r="AT232"/>
  <c r="AR232"/>
  <c r="AQ232"/>
  <c r="AP232"/>
  <c r="AO232"/>
  <c r="AM232"/>
  <c r="AL232"/>
  <c r="Z232"/>
  <c r="AU231"/>
  <c r="AT231"/>
  <c r="AR231"/>
  <c r="AQ231"/>
  <c r="AP231"/>
  <c r="AO231"/>
  <c r="AM231"/>
  <c r="AL231"/>
  <c r="Z231"/>
  <c r="AU230"/>
  <c r="AT230"/>
  <c r="AR230"/>
  <c r="AQ230"/>
  <c r="AP230"/>
  <c r="AO230"/>
  <c r="AM230"/>
  <c r="AL230"/>
  <c r="AU229"/>
  <c r="AT229"/>
  <c r="AR229"/>
  <c r="AQ229"/>
  <c r="AP229"/>
  <c r="AO229"/>
  <c r="AN229"/>
  <c r="AM229"/>
  <c r="AL229"/>
  <c r="AU227"/>
  <c r="AT227"/>
  <c r="AR227"/>
  <c r="AQ227"/>
  <c r="AP227"/>
  <c r="AO227"/>
  <c r="AM227"/>
  <c r="AL227"/>
  <c r="AU226"/>
  <c r="AT226"/>
  <c r="AR226"/>
  <c r="AQ226"/>
  <c r="AP226"/>
  <c r="AO226"/>
  <c r="AN226"/>
  <c r="AM226"/>
  <c r="AL226"/>
  <c r="AU225"/>
  <c r="AT225"/>
  <c r="AR225"/>
  <c r="AQ225"/>
  <c r="AP225"/>
  <c r="AO225"/>
  <c r="AN225"/>
  <c r="AM225"/>
  <c r="AL225"/>
  <c r="AU224"/>
  <c r="AT224"/>
  <c r="AR224"/>
  <c r="AQ224"/>
  <c r="AP224"/>
  <c r="AO224"/>
  <c r="AM224"/>
  <c r="AL224"/>
  <c r="AU222"/>
  <c r="AT222"/>
  <c r="AR222"/>
  <c r="AQ222"/>
  <c r="AP222"/>
  <c r="AO222"/>
  <c r="AN222"/>
  <c r="AM222"/>
  <c r="AL222"/>
  <c r="AU221"/>
  <c r="AT221"/>
  <c r="AR221"/>
  <c r="AQ221"/>
  <c r="AP221"/>
  <c r="AO221"/>
  <c r="AM221"/>
  <c r="AL221"/>
  <c r="AU220"/>
  <c r="AT220"/>
  <c r="AR220"/>
  <c r="AQ220"/>
  <c r="AP220"/>
  <c r="AO220"/>
  <c r="AM220"/>
  <c r="AL220"/>
  <c r="AU219"/>
  <c r="AT219"/>
  <c r="AR219"/>
  <c r="AQ219"/>
  <c r="AP219"/>
  <c r="AO219"/>
  <c r="AM219"/>
  <c r="AL219"/>
  <c r="AU218"/>
  <c r="AT218"/>
  <c r="AR218"/>
  <c r="AQ218"/>
  <c r="AP218"/>
  <c r="AO218"/>
  <c r="AM218"/>
  <c r="AL218"/>
  <c r="AU217"/>
  <c r="AT217"/>
  <c r="AR217"/>
  <c r="AQ217"/>
  <c r="AP217"/>
  <c r="AO217"/>
  <c r="AM217"/>
  <c r="AL217"/>
  <c r="AU216"/>
  <c r="AT216"/>
  <c r="AR216"/>
  <c r="AQ216"/>
  <c r="AP216"/>
  <c r="AO216"/>
  <c r="AN216"/>
  <c r="AM216"/>
  <c r="AL216"/>
  <c r="AU215"/>
  <c r="AT215"/>
  <c r="AR215"/>
  <c r="AQ215"/>
  <c r="AP215"/>
  <c r="AO215"/>
  <c r="AN215"/>
  <c r="AM215"/>
  <c r="AL215"/>
  <c r="AU214"/>
  <c r="AT214"/>
  <c r="AR214"/>
  <c r="AQ214"/>
  <c r="AP214"/>
  <c r="AO214"/>
  <c r="AN214"/>
  <c r="AM214"/>
  <c r="AL214"/>
  <c r="AU213"/>
  <c r="AT213"/>
  <c r="AR213"/>
  <c r="AQ213"/>
  <c r="AP213"/>
  <c r="AO213"/>
  <c r="AM213"/>
  <c r="AL213"/>
  <c r="AU212"/>
  <c r="AT212"/>
  <c r="AR212"/>
  <c r="AQ212"/>
  <c r="AP212"/>
  <c r="AO212"/>
  <c r="AM212"/>
  <c r="AL212"/>
  <c r="AU211"/>
  <c r="AT211"/>
  <c r="AR211"/>
  <c r="AQ211"/>
  <c r="AP211"/>
  <c r="AO211"/>
  <c r="AN211"/>
  <c r="AM211"/>
  <c r="AL211"/>
  <c r="AU210"/>
  <c r="AT210"/>
  <c r="AR210"/>
  <c r="AQ210"/>
  <c r="AP210"/>
  <c r="AO210"/>
  <c r="AM210"/>
  <c r="AL210"/>
  <c r="AU209"/>
  <c r="AT209"/>
  <c r="AR209"/>
  <c r="AQ209"/>
  <c r="AP209"/>
  <c r="AO209"/>
  <c r="AM209"/>
  <c r="AL209"/>
  <c r="AU208"/>
  <c r="AT208"/>
  <c r="AR208"/>
  <c r="AQ208"/>
  <c r="AP208"/>
  <c r="AO208"/>
  <c r="AM208"/>
  <c r="AL208"/>
  <c r="AU205"/>
  <c r="AT205"/>
  <c r="AR205"/>
  <c r="AQ205"/>
  <c r="AP205"/>
  <c r="AO205"/>
  <c r="AM205"/>
  <c r="AL205"/>
  <c r="AU204"/>
  <c r="AT204"/>
  <c r="AR204"/>
  <c r="AQ204"/>
  <c r="AP204"/>
  <c r="AO204"/>
  <c r="AM204"/>
  <c r="AL204"/>
  <c r="AU203"/>
  <c r="AT203"/>
  <c r="AR203"/>
  <c r="AQ203"/>
  <c r="AP203"/>
  <c r="AO203"/>
  <c r="AM203"/>
  <c r="AL203"/>
  <c r="AU202"/>
  <c r="AT202"/>
  <c r="AR202"/>
  <c r="AQ202"/>
  <c r="AP202"/>
  <c r="AO202"/>
  <c r="AM202"/>
  <c r="AL202"/>
  <c r="AU201"/>
  <c r="AT201"/>
  <c r="AR201"/>
  <c r="AQ201"/>
  <c r="AP201"/>
  <c r="AO201"/>
  <c r="AM201"/>
  <c r="AL201"/>
  <c r="AU199"/>
  <c r="AT199"/>
  <c r="AR199"/>
  <c r="AQ199"/>
  <c r="AP199"/>
  <c r="AO199"/>
  <c r="AM199"/>
  <c r="AL199"/>
  <c r="AU198"/>
  <c r="AT198"/>
  <c r="AR198"/>
  <c r="AQ198"/>
  <c r="AP198"/>
  <c r="AO198"/>
  <c r="AM198"/>
  <c r="AL198"/>
  <c r="AU197"/>
  <c r="AT197"/>
  <c r="AR197"/>
  <c r="AQ197"/>
  <c r="AP197"/>
  <c r="AO197"/>
  <c r="AM197"/>
  <c r="AL197"/>
  <c r="AU196"/>
  <c r="AT196"/>
  <c r="AR196"/>
  <c r="AQ196"/>
  <c r="AP196"/>
  <c r="AO196"/>
  <c r="AM196"/>
  <c r="AL196"/>
  <c r="AU195"/>
  <c r="AT195"/>
  <c r="AR195"/>
  <c r="AQ195"/>
  <c r="AP195"/>
  <c r="AO195"/>
  <c r="AM195"/>
  <c r="AL195"/>
  <c r="AU194"/>
  <c r="AT194"/>
  <c r="AR194"/>
  <c r="AQ194"/>
  <c r="AP194"/>
  <c r="AO194"/>
  <c r="AM194"/>
  <c r="AL194"/>
  <c r="AU193"/>
  <c r="AT193"/>
  <c r="AR193"/>
  <c r="AQ193"/>
  <c r="AP193"/>
  <c r="AO193"/>
  <c r="AM193"/>
  <c r="AL193"/>
  <c r="AU191"/>
  <c r="AT191"/>
  <c r="AR191"/>
  <c r="AQ191"/>
  <c r="AP191"/>
  <c r="AO191"/>
  <c r="AN191"/>
  <c r="AM191"/>
  <c r="AL191"/>
  <c r="AU190"/>
  <c r="AT190"/>
  <c r="AR190"/>
  <c r="AQ190"/>
  <c r="AP190"/>
  <c r="AO190"/>
  <c r="AN190"/>
  <c r="AM190"/>
  <c r="AL190"/>
  <c r="AU189"/>
  <c r="AT189"/>
  <c r="AR189"/>
  <c r="AQ189"/>
  <c r="AP189"/>
  <c r="AO189"/>
  <c r="AM189"/>
  <c r="AL189"/>
  <c r="AU187"/>
  <c r="AT187"/>
  <c r="AR187"/>
  <c r="AQ187"/>
  <c r="AP187"/>
  <c r="AO187"/>
  <c r="AN187"/>
  <c r="AM187"/>
  <c r="AL187"/>
  <c r="AU186"/>
  <c r="AT186"/>
  <c r="AR186"/>
  <c r="AQ186"/>
  <c r="AP186"/>
  <c r="AO186"/>
  <c r="AN186"/>
  <c r="AM186"/>
  <c r="AL186"/>
  <c r="AU185"/>
  <c r="AT185"/>
  <c r="AR185"/>
  <c r="AQ185"/>
  <c r="AP185"/>
  <c r="AO185"/>
  <c r="AN185"/>
  <c r="AM185"/>
  <c r="AL185"/>
  <c r="AU183"/>
  <c r="AT183"/>
  <c r="AR183"/>
  <c r="AQ183"/>
  <c r="AP183"/>
  <c r="AO183"/>
  <c r="AN183"/>
  <c r="AM183"/>
  <c r="AL183"/>
  <c r="AU182"/>
  <c r="AT182"/>
  <c r="AR182"/>
  <c r="AQ182"/>
  <c r="AP182"/>
  <c r="AO182"/>
  <c r="AM182"/>
  <c r="AL182"/>
  <c r="AU181"/>
  <c r="AT181"/>
  <c r="AR181"/>
  <c r="AQ181"/>
  <c r="AP181"/>
  <c r="AO181"/>
  <c r="AM181"/>
  <c r="AL181"/>
  <c r="AU179"/>
  <c r="AT179"/>
  <c r="AR179"/>
  <c r="AQ179"/>
  <c r="AP179"/>
  <c r="AO179"/>
  <c r="AM179"/>
  <c r="AL179"/>
  <c r="AU178"/>
  <c r="AT178"/>
  <c r="AR178"/>
  <c r="AQ178"/>
  <c r="AP178"/>
  <c r="AO178"/>
  <c r="AM178"/>
  <c r="AL178"/>
  <c r="AU176"/>
  <c r="AT176"/>
  <c r="AR176"/>
  <c r="AQ176"/>
  <c r="AP176"/>
  <c r="AO176"/>
  <c r="AM176"/>
  <c r="AL176"/>
  <c r="AU174"/>
  <c r="AT174"/>
  <c r="AR174"/>
  <c r="AQ174"/>
  <c r="AP174"/>
  <c r="AO174"/>
  <c r="AM174"/>
  <c r="AL174"/>
  <c r="AU173"/>
  <c r="AT173"/>
  <c r="AR173"/>
  <c r="AQ173"/>
  <c r="AP173"/>
  <c r="AO173"/>
  <c r="AN173"/>
  <c r="AM173"/>
  <c r="AL173"/>
  <c r="AU172"/>
  <c r="AT172"/>
  <c r="AR172"/>
  <c r="AQ172"/>
  <c r="AP172"/>
  <c r="AO172"/>
  <c r="AN172"/>
  <c r="AM172"/>
  <c r="AL172"/>
  <c r="AU171"/>
  <c r="AT171"/>
  <c r="AR171"/>
  <c r="AQ171"/>
  <c r="AP171"/>
  <c r="AO171"/>
  <c r="AM171"/>
  <c r="AL171"/>
  <c r="AU170"/>
  <c r="AT170"/>
  <c r="AR170"/>
  <c r="AQ170"/>
  <c r="AP170"/>
  <c r="AO170"/>
  <c r="AM170"/>
  <c r="AL170"/>
  <c r="AU169"/>
  <c r="AT169"/>
  <c r="AR169"/>
  <c r="AQ169"/>
  <c r="AP169"/>
  <c r="AO169"/>
  <c r="AM169"/>
  <c r="AL169"/>
  <c r="AU167"/>
  <c r="AT167"/>
  <c r="AR167"/>
  <c r="AQ167"/>
  <c r="AP167"/>
  <c r="AO167"/>
  <c r="AN167"/>
  <c r="AM167"/>
  <c r="AL167"/>
  <c r="AU166"/>
  <c r="AT166"/>
  <c r="AR166"/>
  <c r="AQ166"/>
  <c r="AP166"/>
  <c r="AO166"/>
  <c r="AN166"/>
  <c r="AM166"/>
  <c r="AL166"/>
  <c r="AU165"/>
  <c r="AT165"/>
  <c r="AR165"/>
  <c r="AQ165"/>
  <c r="AP165"/>
  <c r="AO165"/>
  <c r="AM165"/>
  <c r="AL165"/>
  <c r="AU163"/>
  <c r="AT163"/>
  <c r="AR163"/>
  <c r="AQ163"/>
  <c r="AP163"/>
  <c r="AO163"/>
  <c r="AM163"/>
  <c r="AL163"/>
  <c r="AU162"/>
  <c r="AT162"/>
  <c r="AR162"/>
  <c r="AQ162"/>
  <c r="AP162"/>
  <c r="AO162"/>
  <c r="AM162"/>
  <c r="AL162"/>
  <c r="AU161"/>
  <c r="AT161"/>
  <c r="AR161"/>
  <c r="AQ161"/>
  <c r="AP161"/>
  <c r="AO161"/>
  <c r="AM161"/>
  <c r="AL161"/>
  <c r="AU160"/>
  <c r="AT160"/>
  <c r="AR160"/>
  <c r="AQ160"/>
  <c r="AP160"/>
  <c r="AO160"/>
  <c r="AM160"/>
  <c r="AL160"/>
  <c r="AU159"/>
  <c r="AT159"/>
  <c r="AR159"/>
  <c r="AQ159"/>
  <c r="AP159"/>
  <c r="AO159"/>
  <c r="AN159"/>
  <c r="AM159"/>
  <c r="AL159"/>
  <c r="AU158"/>
  <c r="AT158"/>
  <c r="AR158"/>
  <c r="AQ158"/>
  <c r="AP158"/>
  <c r="AO158"/>
  <c r="AM158"/>
  <c r="AL158"/>
  <c r="AU157"/>
  <c r="AT157"/>
  <c r="AR157"/>
  <c r="AQ157"/>
  <c r="AP157"/>
  <c r="AO157"/>
  <c r="AM157"/>
  <c r="AL157"/>
  <c r="AU156"/>
  <c r="AT156"/>
  <c r="AR156"/>
  <c r="AQ156"/>
  <c r="AP156"/>
  <c r="AO156"/>
  <c r="AM156"/>
  <c r="AL156"/>
  <c r="AU155"/>
  <c r="AT155"/>
  <c r="AR155"/>
  <c r="AQ155"/>
  <c r="AP155"/>
  <c r="AO155"/>
  <c r="AM155"/>
  <c r="AL155"/>
  <c r="AU154"/>
  <c r="AT154"/>
  <c r="AR154"/>
  <c r="AQ154"/>
  <c r="AP154"/>
  <c r="AO154"/>
  <c r="AM154"/>
  <c r="AL154"/>
  <c r="AU151"/>
  <c r="AT151"/>
  <c r="AR151"/>
  <c r="AQ151"/>
  <c r="AP151"/>
  <c r="AO151"/>
  <c r="AM151"/>
  <c r="AL151"/>
  <c r="AU150"/>
  <c r="AT150"/>
  <c r="AR150"/>
  <c r="AQ150"/>
  <c r="AP150"/>
  <c r="AO150"/>
  <c r="AM150"/>
  <c r="AL150"/>
  <c r="AU149"/>
  <c r="AT149"/>
  <c r="AR149"/>
  <c r="AQ149"/>
  <c r="AP149"/>
  <c r="AO149"/>
  <c r="AM149"/>
  <c r="AL149"/>
  <c r="AU148"/>
  <c r="AT148"/>
  <c r="AR148"/>
  <c r="AQ148"/>
  <c r="AP148"/>
  <c r="AO148"/>
  <c r="AM148"/>
  <c r="AL148"/>
  <c r="AU147"/>
  <c r="AT147"/>
  <c r="AR147"/>
  <c r="AQ147"/>
  <c r="AP147"/>
  <c r="AO147"/>
  <c r="AM147"/>
  <c r="AL147"/>
  <c r="AU146"/>
  <c r="AT146"/>
  <c r="AR146"/>
  <c r="AQ146"/>
  <c r="AP146"/>
  <c r="AO146"/>
  <c r="AM146"/>
  <c r="AL146"/>
  <c r="AU145"/>
  <c r="AT145"/>
  <c r="AR145"/>
  <c r="AQ145"/>
  <c r="AP145"/>
  <c r="AO145"/>
  <c r="AM145"/>
  <c r="AL145"/>
  <c r="AU144"/>
  <c r="AT144"/>
  <c r="AR144"/>
  <c r="AQ144"/>
  <c r="AP144"/>
  <c r="AO144"/>
  <c r="AM144"/>
  <c r="AL144"/>
  <c r="AU143"/>
  <c r="AT143"/>
  <c r="AR143"/>
  <c r="AQ143"/>
  <c r="AP143"/>
  <c r="AO143"/>
  <c r="AM143"/>
  <c r="AL143"/>
  <c r="AU142"/>
  <c r="AT142"/>
  <c r="AR142"/>
  <c r="AQ142"/>
  <c r="AP142"/>
  <c r="AO142"/>
  <c r="AM142"/>
  <c r="AL142"/>
  <c r="AU141"/>
  <c r="AT141"/>
  <c r="AR141"/>
  <c r="AQ141"/>
  <c r="AP141"/>
  <c r="AO141"/>
  <c r="AM141"/>
  <c r="AL141"/>
  <c r="AU140"/>
  <c r="AT140"/>
  <c r="AR140"/>
  <c r="AQ140"/>
  <c r="AP140"/>
  <c r="AO140"/>
  <c r="AM140"/>
  <c r="AL140"/>
  <c r="AU139"/>
  <c r="AT139"/>
  <c r="AR139"/>
  <c r="AQ139"/>
  <c r="AP139"/>
  <c r="AO139"/>
  <c r="AN139"/>
  <c r="AM139"/>
  <c r="AL139"/>
  <c r="AU138"/>
  <c r="AT138"/>
  <c r="AR138"/>
  <c r="AQ138"/>
  <c r="AP138"/>
  <c r="AO138"/>
  <c r="AM138"/>
  <c r="AL138"/>
  <c r="AU136"/>
  <c r="AT136"/>
  <c r="AR136"/>
  <c r="AQ136"/>
  <c r="AP136"/>
  <c r="AO136"/>
  <c r="AM136"/>
  <c r="AL136"/>
  <c r="AU135"/>
  <c r="AT135"/>
  <c r="AR135"/>
  <c r="AQ135"/>
  <c r="AP135"/>
  <c r="AO135"/>
  <c r="AM135"/>
  <c r="AL135"/>
  <c r="AU134"/>
  <c r="AT134"/>
  <c r="AR134"/>
  <c r="AQ134"/>
  <c r="AP134"/>
  <c r="AO134"/>
  <c r="AN134"/>
  <c r="AM134"/>
  <c r="AL134"/>
  <c r="AU133"/>
  <c r="AT133"/>
  <c r="AR133"/>
  <c r="AQ133"/>
  <c r="AP133"/>
  <c r="AO133"/>
  <c r="AM133"/>
  <c r="AL133"/>
  <c r="AU132"/>
  <c r="AT132"/>
  <c r="AR132"/>
  <c r="AQ132"/>
  <c r="AP132"/>
  <c r="AO132"/>
  <c r="AM132"/>
  <c r="AL132"/>
  <c r="AU131"/>
  <c r="AT131"/>
  <c r="AR131"/>
  <c r="AQ131"/>
  <c r="AP131"/>
  <c r="AO131"/>
  <c r="AM131"/>
  <c r="AL131"/>
  <c r="AU130"/>
  <c r="AT130"/>
  <c r="AR130"/>
  <c r="AQ130"/>
  <c r="AP130"/>
  <c r="AO130"/>
  <c r="AM130"/>
  <c r="AL130"/>
  <c r="AU129"/>
  <c r="AT129"/>
  <c r="AR129"/>
  <c r="AQ129"/>
  <c r="AP129"/>
  <c r="AO129"/>
  <c r="AN129"/>
  <c r="AM129"/>
  <c r="AL129"/>
  <c r="AU128"/>
  <c r="AT128"/>
  <c r="AR128"/>
  <c r="AQ128"/>
  <c r="AP128"/>
  <c r="AO128"/>
  <c r="AM128"/>
  <c r="AL128"/>
  <c r="AU127"/>
  <c r="AT127"/>
  <c r="AR127"/>
  <c r="AQ127"/>
  <c r="AP127"/>
  <c r="AO127"/>
  <c r="AM127"/>
  <c r="AL127"/>
  <c r="AU126"/>
  <c r="AT126"/>
  <c r="AR126"/>
  <c r="AQ126"/>
  <c r="AP126"/>
  <c r="AO126"/>
  <c r="AN126"/>
  <c r="AM126"/>
  <c r="AL126"/>
  <c r="AU125"/>
  <c r="AT125"/>
  <c r="AR125"/>
  <c r="AQ125"/>
  <c r="AP125"/>
  <c r="AO125"/>
  <c r="AM125"/>
  <c r="AL125"/>
  <c r="AU124"/>
  <c r="AT124"/>
  <c r="AR124"/>
  <c r="AQ124"/>
  <c r="AP124"/>
  <c r="AO124"/>
  <c r="AM124"/>
  <c r="AL124"/>
  <c r="AU123"/>
  <c r="AT123"/>
  <c r="AR123"/>
  <c r="AQ123"/>
  <c r="AP123"/>
  <c r="AO123"/>
  <c r="AN123"/>
  <c r="AM123"/>
  <c r="AL123"/>
  <c r="AU122"/>
  <c r="AT122"/>
  <c r="AR122"/>
  <c r="AQ122"/>
  <c r="AP122"/>
  <c r="AO122"/>
  <c r="AN122"/>
  <c r="AM122"/>
  <c r="AL122"/>
  <c r="AU121"/>
  <c r="AT121"/>
  <c r="AR121"/>
  <c r="AQ121"/>
  <c r="AP121"/>
  <c r="AO121"/>
  <c r="AN121"/>
  <c r="AM121"/>
  <c r="AL121"/>
  <c r="AU120"/>
  <c r="AT120"/>
  <c r="AR120"/>
  <c r="AQ120"/>
  <c r="AP120"/>
  <c r="AO120"/>
  <c r="AN120"/>
  <c r="AM120"/>
  <c r="AL120"/>
  <c r="AU119"/>
  <c r="AT119"/>
  <c r="AR119"/>
  <c r="AQ119"/>
  <c r="AP119"/>
  <c r="AO119"/>
  <c r="AN119"/>
  <c r="AM119"/>
  <c r="AL119"/>
  <c r="AU117"/>
  <c r="AT117"/>
  <c r="AR117"/>
  <c r="AQ117"/>
  <c r="AP117"/>
  <c r="AO117"/>
  <c r="AN117"/>
  <c r="AM117"/>
  <c r="AL117"/>
  <c r="AU116"/>
  <c r="AT116"/>
  <c r="AR116"/>
  <c r="AQ116"/>
  <c r="AP116"/>
  <c r="AO116"/>
  <c r="AN116"/>
  <c r="AM116"/>
  <c r="AL116"/>
  <c r="AU115"/>
  <c r="AT115"/>
  <c r="AR115"/>
  <c r="AQ115"/>
  <c r="AP115"/>
  <c r="AO115"/>
  <c r="AN115"/>
  <c r="AM115"/>
  <c r="AL115"/>
  <c r="AU114"/>
  <c r="AT114"/>
  <c r="AR114"/>
  <c r="AQ114"/>
  <c r="AP114"/>
  <c r="AO114"/>
  <c r="AN114"/>
  <c r="AM114"/>
  <c r="AL114"/>
  <c r="AU113"/>
  <c r="AT113"/>
  <c r="AR113"/>
  <c r="AQ113"/>
  <c r="AP113"/>
  <c r="AO113"/>
  <c r="AN113"/>
  <c r="AM113"/>
  <c r="AL113"/>
  <c r="AU112"/>
  <c r="AT112"/>
  <c r="AR112"/>
  <c r="AQ112"/>
  <c r="AP112"/>
  <c r="AO112"/>
  <c r="AN112"/>
  <c r="AM112"/>
  <c r="AL112"/>
  <c r="AU111"/>
  <c r="AT111"/>
  <c r="AR111"/>
  <c r="AQ111"/>
  <c r="AP111"/>
  <c r="AO111"/>
  <c r="AN111"/>
  <c r="AM111"/>
  <c r="AL111"/>
  <c r="AU110"/>
  <c r="AT110"/>
  <c r="AR110"/>
  <c r="AQ110"/>
  <c r="AP110"/>
  <c r="AO110"/>
  <c r="AN110"/>
  <c r="AM110"/>
  <c r="AL110"/>
  <c r="AU109"/>
  <c r="AT109"/>
  <c r="AR109"/>
  <c r="AQ109"/>
  <c r="AP109"/>
  <c r="AO109"/>
  <c r="AN109"/>
  <c r="AM109"/>
  <c r="AL109"/>
  <c r="AU108"/>
  <c r="AT108"/>
  <c r="AR108"/>
  <c r="AQ108"/>
  <c r="AP108"/>
  <c r="AO108"/>
  <c r="AN108"/>
  <c r="AM108"/>
  <c r="AL108"/>
  <c r="AU107"/>
  <c r="AT107"/>
  <c r="AR107"/>
  <c r="AQ107"/>
  <c r="AP107"/>
  <c r="AO107"/>
  <c r="AN107"/>
  <c r="AM107"/>
  <c r="AL107"/>
  <c r="AU106"/>
  <c r="AT106"/>
  <c r="AR106"/>
  <c r="AQ106"/>
  <c r="AP106"/>
  <c r="AO106"/>
  <c r="AN106"/>
  <c r="AM106"/>
  <c r="AL106"/>
  <c r="AU105"/>
  <c r="AT105"/>
  <c r="AR105"/>
  <c r="AQ105"/>
  <c r="AP105"/>
  <c r="AO105"/>
  <c r="AN105"/>
  <c r="AM105"/>
  <c r="AL105"/>
  <c r="AU104"/>
  <c r="AT104"/>
  <c r="AR104"/>
  <c r="AQ104"/>
  <c r="AP104"/>
  <c r="AO104"/>
  <c r="AN104"/>
  <c r="AM104"/>
  <c r="AL104"/>
  <c r="AU103"/>
  <c r="AT103"/>
  <c r="AR103"/>
  <c r="AQ103"/>
  <c r="AP103"/>
  <c r="AO103"/>
  <c r="AN103"/>
  <c r="AM103"/>
  <c r="AL103"/>
  <c r="AU102"/>
  <c r="AT102"/>
  <c r="AR102"/>
  <c r="AQ102"/>
  <c r="AP102"/>
  <c r="AO102"/>
  <c r="AN102"/>
  <c r="AM102"/>
  <c r="AL102"/>
  <c r="AU101"/>
  <c r="AT101"/>
  <c r="AR101"/>
  <c r="AQ101"/>
  <c r="AP101"/>
  <c r="AO101"/>
  <c r="AN101"/>
  <c r="AM101"/>
  <c r="AL101"/>
  <c r="AU100"/>
  <c r="AT100"/>
  <c r="AR100"/>
  <c r="AQ100"/>
  <c r="AP100"/>
  <c r="AO100"/>
  <c r="AN100"/>
  <c r="AM100"/>
  <c r="AL100"/>
  <c r="AU99"/>
  <c r="AT99"/>
  <c r="AR99"/>
  <c r="AQ99"/>
  <c r="AP99"/>
  <c r="AO99"/>
  <c r="AN99"/>
  <c r="AM99"/>
  <c r="AL99"/>
  <c r="AU98"/>
  <c r="AT98"/>
  <c r="AR98"/>
  <c r="AQ98"/>
  <c r="AP98"/>
  <c r="AO98"/>
  <c r="AN98"/>
  <c r="AM98"/>
  <c r="AL98"/>
  <c r="AU97"/>
  <c r="AT97"/>
  <c r="AR97"/>
  <c r="AQ97"/>
  <c r="AP97"/>
  <c r="AO97"/>
  <c r="AN97"/>
  <c r="AM97"/>
  <c r="AL97"/>
  <c r="AU96"/>
  <c r="AT96"/>
  <c r="AR96"/>
  <c r="AQ96"/>
  <c r="AP96"/>
  <c r="AO96"/>
  <c r="AN96"/>
  <c r="AM96"/>
  <c r="AL96"/>
  <c r="AU95"/>
  <c r="AT95"/>
  <c r="AR95"/>
  <c r="AQ95"/>
  <c r="AP95"/>
  <c r="AO95"/>
  <c r="AN95"/>
  <c r="AM95"/>
  <c r="AL95"/>
  <c r="AU94"/>
  <c r="AT94"/>
  <c r="AR94"/>
  <c r="AQ94"/>
  <c r="AP94"/>
  <c r="AO94"/>
  <c r="AN94"/>
  <c r="AM94"/>
  <c r="AL94"/>
  <c r="AU93"/>
  <c r="AT93"/>
  <c r="AR93"/>
  <c r="AQ93"/>
  <c r="AP93"/>
  <c r="AO93"/>
  <c r="AN93"/>
  <c r="AM93"/>
  <c r="AL93"/>
  <c r="AU92"/>
  <c r="AT92"/>
  <c r="AR92"/>
  <c r="AQ92"/>
  <c r="AP92"/>
  <c r="AO92"/>
  <c r="AN92"/>
  <c r="AM92"/>
  <c r="AL92"/>
  <c r="AU91"/>
  <c r="AT91"/>
  <c r="AR91"/>
  <c r="AQ91"/>
  <c r="AP91"/>
  <c r="AO91"/>
  <c r="AN91"/>
  <c r="AM91"/>
  <c r="AL91"/>
  <c r="AU90"/>
  <c r="AT90"/>
  <c r="AR90"/>
  <c r="AQ90"/>
  <c r="AP90"/>
  <c r="AO90"/>
  <c r="AN90"/>
  <c r="AM90"/>
  <c r="AL90"/>
  <c r="AU89"/>
  <c r="AT89"/>
  <c r="AR89"/>
  <c r="AQ89"/>
  <c r="AP89"/>
  <c r="AO89"/>
  <c r="AN89"/>
  <c r="AM89"/>
  <c r="AL89"/>
  <c r="AU88"/>
  <c r="AT88"/>
  <c r="AR88"/>
  <c r="AQ88"/>
  <c r="AP88"/>
  <c r="AO88"/>
  <c r="AN88"/>
  <c r="AM88"/>
  <c r="AL88"/>
  <c r="AU87"/>
  <c r="AT87"/>
  <c r="AR87"/>
  <c r="AQ87"/>
  <c r="AP87"/>
  <c r="AO87"/>
  <c r="AN87"/>
  <c r="AM87"/>
  <c r="AL87"/>
  <c r="Q71"/>
  <c r="P71"/>
  <c r="O71"/>
  <c r="N71"/>
  <c r="Q70"/>
  <c r="P70"/>
  <c r="O70"/>
  <c r="N70"/>
  <c r="M70"/>
  <c r="L70"/>
  <c r="K70"/>
  <c r="J70"/>
  <c r="I70"/>
  <c r="H70"/>
  <c r="G70"/>
  <c r="S70" s="1"/>
  <c r="F70"/>
  <c r="R70" s="1"/>
  <c r="Q69"/>
  <c r="P69"/>
  <c r="O69"/>
  <c r="N69"/>
  <c r="M69"/>
  <c r="L69"/>
  <c r="K69"/>
  <c r="J69"/>
  <c r="I69"/>
  <c r="H69"/>
  <c r="G69"/>
  <c r="S69" s="1"/>
  <c r="F69"/>
  <c r="R69" s="1"/>
  <c r="Q68"/>
  <c r="P68"/>
  <c r="O68"/>
  <c r="N68"/>
  <c r="M68"/>
  <c r="L68"/>
  <c r="K68"/>
  <c r="J68"/>
  <c r="I68"/>
  <c r="H68"/>
  <c r="G68"/>
  <c r="S68" s="1"/>
  <c r="F68"/>
  <c r="R68" s="1"/>
  <c r="Q67"/>
  <c r="P67"/>
  <c r="O67"/>
  <c r="N67"/>
  <c r="M67"/>
  <c r="L67"/>
  <c r="K67"/>
  <c r="J67"/>
  <c r="I67"/>
  <c r="H67"/>
  <c r="G67"/>
  <c r="S67" s="1"/>
  <c r="F67"/>
  <c r="R67" s="1"/>
  <c r="Q66"/>
  <c r="P66"/>
  <c r="O66"/>
  <c r="N66"/>
  <c r="M66"/>
  <c r="L66"/>
  <c r="K66"/>
  <c r="J66"/>
  <c r="I66"/>
  <c r="H66"/>
  <c r="G66"/>
  <c r="S66" s="1"/>
  <c r="F66"/>
  <c r="R66" s="1"/>
  <c r="Q65"/>
  <c r="P65"/>
  <c r="O65"/>
  <c r="N65"/>
  <c r="M65"/>
  <c r="L65"/>
  <c r="K65"/>
  <c r="J65"/>
  <c r="I65"/>
  <c r="H65"/>
  <c r="G65"/>
  <c r="S65" s="1"/>
  <c r="F65"/>
  <c r="R65" s="1"/>
  <c r="Q64"/>
  <c r="P64"/>
  <c r="O64"/>
  <c r="N64"/>
  <c r="M64"/>
  <c r="L64"/>
  <c r="K64"/>
  <c r="J64"/>
  <c r="I64"/>
  <c r="H64"/>
  <c r="G64"/>
  <c r="S64" s="1"/>
  <c r="F64"/>
  <c r="R64" s="1"/>
  <c r="Q63"/>
  <c r="P63"/>
  <c r="O63"/>
  <c r="N63"/>
  <c r="M63"/>
  <c r="L63"/>
  <c r="K63"/>
  <c r="J63"/>
  <c r="I63"/>
  <c r="H63"/>
  <c r="G63"/>
  <c r="S63" s="1"/>
  <c r="F63"/>
  <c r="R63" s="1"/>
  <c r="Q62"/>
  <c r="P62"/>
  <c r="O62"/>
  <c r="N62"/>
  <c r="M62"/>
  <c r="L62"/>
  <c r="K62"/>
  <c r="J62"/>
  <c r="I62"/>
  <c r="H62"/>
  <c r="G62"/>
  <c r="S62" s="1"/>
  <c r="F62"/>
  <c r="R62" s="1"/>
  <c r="Q61"/>
  <c r="P61"/>
  <c r="O61"/>
  <c r="N61"/>
  <c r="Q60"/>
  <c r="P60"/>
  <c r="O60"/>
  <c r="N60"/>
  <c r="M60"/>
  <c r="L60"/>
  <c r="K60"/>
  <c r="J60"/>
  <c r="I60"/>
  <c r="H60"/>
  <c r="G60"/>
  <c r="S60" s="1"/>
  <c r="F60"/>
  <c r="R60" s="1"/>
  <c r="Q59"/>
  <c r="P59"/>
  <c r="O59"/>
  <c r="N59"/>
  <c r="M59"/>
  <c r="L59"/>
  <c r="K59"/>
  <c r="J59"/>
  <c r="I59"/>
  <c r="H59"/>
  <c r="G59"/>
  <c r="S59" s="1"/>
  <c r="F59"/>
  <c r="R59" s="1"/>
  <c r="Q58"/>
  <c r="P58"/>
  <c r="O58"/>
  <c r="N58"/>
  <c r="M58"/>
  <c r="L58"/>
  <c r="K58"/>
  <c r="J58"/>
  <c r="I58"/>
  <c r="H58"/>
  <c r="G58"/>
  <c r="S58" s="1"/>
  <c r="F58"/>
  <c r="R58" s="1"/>
  <c r="Q57"/>
  <c r="P57"/>
  <c r="O57"/>
  <c r="N57"/>
  <c r="M57"/>
  <c r="L57"/>
  <c r="K57"/>
  <c r="J57"/>
  <c r="I57"/>
  <c r="H57"/>
  <c r="G57"/>
  <c r="S57" s="1"/>
  <c r="F57"/>
  <c r="R57" s="1"/>
  <c r="Q56"/>
  <c r="P56"/>
  <c r="O56"/>
  <c r="N56"/>
  <c r="M56"/>
  <c r="L56"/>
  <c r="K56"/>
  <c r="J56"/>
  <c r="I56"/>
  <c r="H56"/>
  <c r="G56"/>
  <c r="S56" s="1"/>
  <c r="F56"/>
  <c r="R56" s="1"/>
  <c r="Q55"/>
  <c r="P55"/>
  <c r="O55"/>
  <c r="N55"/>
  <c r="M55"/>
  <c r="L55"/>
  <c r="K55"/>
  <c r="J55"/>
  <c r="I55"/>
  <c r="H55"/>
  <c r="G55"/>
  <c r="S55" s="1"/>
  <c r="F55"/>
  <c r="R55" s="1"/>
  <c r="Q54"/>
  <c r="P54"/>
  <c r="O54"/>
  <c r="N54"/>
  <c r="M54"/>
  <c r="L54"/>
  <c r="K54"/>
  <c r="J54"/>
  <c r="I54"/>
  <c r="H54"/>
  <c r="G54"/>
  <c r="S54" s="1"/>
  <c r="F54"/>
  <c r="R54" s="1"/>
  <c r="Q53"/>
  <c r="P53"/>
  <c r="O53"/>
  <c r="N53"/>
  <c r="M53"/>
  <c r="L53"/>
  <c r="K53"/>
  <c r="J53"/>
  <c r="I53"/>
  <c r="H53"/>
  <c r="G53"/>
  <c r="S53" s="1"/>
  <c r="S52" s="1"/>
  <c r="F53"/>
  <c r="R53" s="1"/>
  <c r="R52" s="1"/>
  <c r="Q52"/>
  <c r="P52"/>
  <c r="O52"/>
  <c r="N52"/>
  <c r="M52"/>
  <c r="L52"/>
  <c r="K52"/>
  <c r="J52"/>
  <c r="I52"/>
  <c r="H52"/>
  <c r="F52"/>
  <c r="Q48"/>
  <c r="P48"/>
  <c r="O48"/>
  <c r="N48"/>
  <c r="M48"/>
  <c r="L48"/>
  <c r="K48"/>
  <c r="J48"/>
  <c r="I48"/>
  <c r="W48" s="1"/>
  <c r="H48"/>
  <c r="V48" s="1"/>
  <c r="G48"/>
  <c r="U48" s="1"/>
  <c r="F48"/>
  <c r="T48" s="1"/>
  <c r="Q47"/>
  <c r="P47"/>
  <c r="O47"/>
  <c r="N47"/>
  <c r="M47"/>
  <c r="L47"/>
  <c r="K47"/>
  <c r="J47"/>
  <c r="I47"/>
  <c r="W47" s="1"/>
  <c r="H47"/>
  <c r="V47" s="1"/>
  <c r="G47"/>
  <c r="U47" s="1"/>
  <c r="F47"/>
  <c r="T47" s="1"/>
  <c r="Q46"/>
  <c r="P46"/>
  <c r="O46"/>
  <c r="N46"/>
  <c r="M46"/>
  <c r="L46"/>
  <c r="K46"/>
  <c r="J46"/>
  <c r="I46"/>
  <c r="W46" s="1"/>
  <c r="H46"/>
  <c r="V46" s="1"/>
  <c r="G46"/>
  <c r="U46" s="1"/>
  <c r="F46"/>
  <c r="T46" s="1"/>
  <c r="Q45"/>
  <c r="P45"/>
  <c r="O45"/>
  <c r="N45"/>
  <c r="M45"/>
  <c r="L45"/>
  <c r="K45"/>
  <c r="J45"/>
  <c r="I45"/>
  <c r="W45" s="1"/>
  <c r="W44" s="1"/>
  <c r="H45"/>
  <c r="V45" s="1"/>
  <c r="V44" s="1"/>
  <c r="G45"/>
  <c r="U45" s="1"/>
  <c r="U44" s="1"/>
  <c r="F45"/>
  <c r="T45" s="1"/>
  <c r="T44" s="1"/>
  <c r="Q44"/>
  <c r="P44"/>
  <c r="O44"/>
  <c r="N44"/>
  <c r="M44"/>
  <c r="L44"/>
  <c r="K44"/>
  <c r="J44"/>
  <c r="I44"/>
  <c r="H44"/>
  <c r="Q43"/>
  <c r="P43"/>
  <c r="O43"/>
  <c r="N43"/>
  <c r="M43"/>
  <c r="L43"/>
  <c r="K43"/>
  <c r="J43"/>
  <c r="I43"/>
  <c r="W43" s="1"/>
  <c r="H43"/>
  <c r="V43" s="1"/>
  <c r="G43"/>
  <c r="U43" s="1"/>
  <c r="F43"/>
  <c r="T43" s="1"/>
  <c r="Q42"/>
  <c r="P42"/>
  <c r="O42"/>
  <c r="N42"/>
  <c r="M42"/>
  <c r="L42"/>
  <c r="K42"/>
  <c r="J42"/>
  <c r="I42"/>
  <c r="W42" s="1"/>
  <c r="H42"/>
  <c r="V42" s="1"/>
  <c r="G42"/>
  <c r="U42" s="1"/>
  <c r="F42"/>
  <c r="T42" s="1"/>
  <c r="Q41"/>
  <c r="P41"/>
  <c r="O41"/>
  <c r="N41"/>
  <c r="M41"/>
  <c r="L41"/>
  <c r="K41"/>
  <c r="J41"/>
  <c r="I41"/>
  <c r="W41" s="1"/>
  <c r="H41"/>
  <c r="V41" s="1"/>
  <c r="G41"/>
  <c r="U41" s="1"/>
  <c r="F41"/>
  <c r="T41" s="1"/>
  <c r="Q40"/>
  <c r="P40"/>
  <c r="O40"/>
  <c r="N40"/>
  <c r="M40"/>
  <c r="L40"/>
  <c r="K40"/>
  <c r="J40"/>
  <c r="I40"/>
  <c r="W40" s="1"/>
  <c r="W39" s="1"/>
  <c r="H40"/>
  <c r="V40" s="1"/>
  <c r="V39" s="1"/>
  <c r="G40"/>
  <c r="U40" s="1"/>
  <c r="U39" s="1"/>
  <c r="F40"/>
  <c r="T40" s="1"/>
  <c r="T39" s="1"/>
  <c r="Q39"/>
  <c r="P39"/>
  <c r="O39"/>
  <c r="N39"/>
  <c r="M39"/>
  <c r="L39"/>
  <c r="K39"/>
  <c r="J39"/>
  <c r="I39"/>
  <c r="H39"/>
  <c r="M29"/>
  <c r="M71" s="1"/>
  <c r="M61" s="1"/>
  <c r="L29"/>
  <c r="L71" s="1"/>
  <c r="L61" s="1"/>
  <c r="K29"/>
  <c r="K71" s="1"/>
  <c r="K61" s="1"/>
  <c r="J29"/>
  <c r="J71" s="1"/>
  <c r="J61" s="1"/>
  <c r="I29"/>
  <c r="I71" s="1"/>
  <c r="I61" s="1"/>
  <c r="H29"/>
  <c r="H71" s="1"/>
  <c r="H61" s="1"/>
  <c r="G29"/>
  <c r="G71" s="1"/>
  <c r="F29"/>
  <c r="F71" s="1"/>
  <c r="Q25"/>
  <c r="P25"/>
  <c r="O25"/>
  <c r="N25"/>
  <c r="M25"/>
  <c r="K25"/>
  <c r="I25"/>
  <c r="G25"/>
  <c r="Q24"/>
  <c r="P24"/>
  <c r="O24"/>
  <c r="N24"/>
  <c r="M24"/>
  <c r="L24"/>
  <c r="K24"/>
  <c r="J24"/>
  <c r="I24"/>
  <c r="H24"/>
  <c r="G24"/>
  <c r="S24" s="1"/>
  <c r="F24"/>
  <c r="R24" s="1"/>
  <c r="Q23"/>
  <c r="P23"/>
  <c r="O23"/>
  <c r="N23"/>
  <c r="M23"/>
  <c r="L23"/>
  <c r="K23"/>
  <c r="J23"/>
  <c r="I23"/>
  <c r="H23"/>
  <c r="G23"/>
  <c r="S23" s="1"/>
  <c r="F23"/>
  <c r="R23" s="1"/>
  <c r="Q22"/>
  <c r="P22"/>
  <c r="O22"/>
  <c r="N22"/>
  <c r="M22"/>
  <c r="L22"/>
  <c r="K22"/>
  <c r="J22"/>
  <c r="I22"/>
  <c r="H22"/>
  <c r="G22"/>
  <c r="S22" s="1"/>
  <c r="F22"/>
  <c r="R22" s="1"/>
  <c r="Q21"/>
  <c r="P21"/>
  <c r="O21"/>
  <c r="N21"/>
  <c r="M21"/>
  <c r="L21"/>
  <c r="K21"/>
  <c r="J21"/>
  <c r="I21"/>
  <c r="H21"/>
  <c r="G21"/>
  <c r="S21" s="1"/>
  <c r="S20" s="1"/>
  <c r="F21"/>
  <c r="R21" s="1"/>
  <c r="R20" s="1"/>
  <c r="Q20"/>
  <c r="P20"/>
  <c r="O20"/>
  <c r="N20"/>
  <c r="M20"/>
  <c r="L20"/>
  <c r="K20"/>
  <c r="J20"/>
  <c r="I20"/>
  <c r="H20"/>
  <c r="Q19"/>
  <c r="P19"/>
  <c r="O19"/>
  <c r="N19"/>
  <c r="M19"/>
  <c r="L19"/>
  <c r="K19"/>
  <c r="J19"/>
  <c r="I19"/>
  <c r="H19"/>
  <c r="G19"/>
  <c r="S19" s="1"/>
  <c r="F19"/>
  <c r="R19" s="1"/>
  <c r="Q18"/>
  <c r="P18"/>
  <c r="O18"/>
  <c r="N18"/>
  <c r="M18"/>
  <c r="L18"/>
  <c r="K18"/>
  <c r="J18"/>
  <c r="I18"/>
  <c r="H18"/>
  <c r="G18"/>
  <c r="S18" s="1"/>
  <c r="F18"/>
  <c r="R18" s="1"/>
  <c r="Q17"/>
  <c r="P17"/>
  <c r="O17"/>
  <c r="N17"/>
  <c r="M17"/>
  <c r="L17"/>
  <c r="K17"/>
  <c r="J17"/>
  <c r="I17"/>
  <c r="H17"/>
  <c r="G17"/>
  <c r="S17" s="1"/>
  <c r="F17"/>
  <c r="R17" s="1"/>
  <c r="Q16"/>
  <c r="P16"/>
  <c r="O16"/>
  <c r="N16"/>
  <c r="M16"/>
  <c r="L16"/>
  <c r="K16"/>
  <c r="J16"/>
  <c r="I16"/>
  <c r="H16"/>
  <c r="G16"/>
  <c r="S16" s="1"/>
  <c r="S15" s="1"/>
  <c r="F16"/>
  <c r="R16" s="1"/>
  <c r="R15" s="1"/>
  <c r="Q15"/>
  <c r="P15"/>
  <c r="O15"/>
  <c r="N15"/>
  <c r="M15"/>
  <c r="L15"/>
  <c r="K15"/>
  <c r="J15"/>
  <c r="I15"/>
  <c r="H15"/>
  <c r="F15"/>
  <c r="Q14"/>
  <c r="P14"/>
  <c r="O14"/>
  <c r="N14"/>
  <c r="M14"/>
  <c r="L14"/>
  <c r="K14"/>
  <c r="J14"/>
  <c r="I14"/>
  <c r="H14"/>
  <c r="G14"/>
  <c r="S14" s="1"/>
  <c r="F14"/>
  <c r="R14" s="1"/>
  <c r="Q13"/>
  <c r="P13"/>
  <c r="O13"/>
  <c r="N13"/>
  <c r="M13"/>
  <c r="L13"/>
  <c r="K13"/>
  <c r="J13"/>
  <c r="I13"/>
  <c r="H13"/>
  <c r="G13"/>
  <c r="S13" s="1"/>
  <c r="F13"/>
  <c r="R13" s="1"/>
  <c r="Q12"/>
  <c r="P12"/>
  <c r="O12"/>
  <c r="N12"/>
  <c r="M12"/>
  <c r="L12"/>
  <c r="K12"/>
  <c r="J12"/>
  <c r="I12"/>
  <c r="H12"/>
  <c r="G12"/>
  <c r="S12" s="1"/>
  <c r="F12"/>
  <c r="R12" s="1"/>
  <c r="Q11"/>
  <c r="P11"/>
  <c r="O11"/>
  <c r="N11"/>
  <c r="M11"/>
  <c r="L11"/>
  <c r="K11"/>
  <c r="J11"/>
  <c r="I11"/>
  <c r="H11"/>
  <c r="G11"/>
  <c r="S11" s="1"/>
  <c r="S10" s="1"/>
  <c r="F11"/>
  <c r="R11" s="1"/>
  <c r="R10" s="1"/>
  <c r="Q10"/>
  <c r="P10"/>
  <c r="O10"/>
  <c r="N10"/>
  <c r="M10"/>
  <c r="L10"/>
  <c r="K10"/>
  <c r="J10"/>
  <c r="I10"/>
  <c r="H10"/>
  <c r="Q9"/>
  <c r="P9"/>
  <c r="O9"/>
  <c r="N9"/>
  <c r="M9"/>
  <c r="L9"/>
  <c r="K9"/>
  <c r="J9"/>
  <c r="I9"/>
  <c r="H9"/>
  <c r="G9"/>
  <c r="F9"/>
  <c r="Q8"/>
  <c r="P8"/>
  <c r="O8"/>
  <c r="N8"/>
  <c r="M8"/>
  <c r="L8"/>
  <c r="K8"/>
  <c r="J8"/>
  <c r="I8"/>
  <c r="H8"/>
  <c r="G8"/>
  <c r="F8"/>
  <c r="Q7"/>
  <c r="P7"/>
  <c r="O7"/>
  <c r="N7"/>
  <c r="M7"/>
  <c r="L7"/>
  <c r="K7"/>
  <c r="J7"/>
  <c r="I7"/>
  <c r="H7"/>
  <c r="G7"/>
  <c r="F7"/>
  <c r="Q6"/>
  <c r="P6"/>
  <c r="O6"/>
  <c r="N6"/>
  <c r="M6"/>
  <c r="L6"/>
  <c r="K6"/>
  <c r="J6"/>
  <c r="I6"/>
  <c r="H6"/>
  <c r="G6"/>
  <c r="F6"/>
  <c r="Q5"/>
  <c r="P5"/>
  <c r="O5"/>
  <c r="N5"/>
  <c r="M5"/>
  <c r="L5"/>
  <c r="K5"/>
  <c r="J5"/>
  <c r="I5"/>
  <c r="H5"/>
  <c r="F25" l="1"/>
  <c r="H25"/>
  <c r="J25"/>
  <c r="L25"/>
  <c r="G15"/>
  <c r="G52"/>
  <c r="F44"/>
  <c r="F20"/>
  <c r="F39"/>
  <c r="G39"/>
  <c r="G20"/>
  <c r="G44"/>
  <c r="G10"/>
  <c r="G31"/>
  <c r="I31"/>
  <c r="K31"/>
  <c r="M31"/>
  <c r="O31"/>
  <c r="Q31"/>
  <c r="G32"/>
  <c r="I32"/>
  <c r="K32"/>
  <c r="M32"/>
  <c r="O32"/>
  <c r="Q32"/>
  <c r="G33"/>
  <c r="I33"/>
  <c r="K33"/>
  <c r="M33"/>
  <c r="O33"/>
  <c r="Q33"/>
  <c r="G34"/>
  <c r="I34"/>
  <c r="K34"/>
  <c r="M34"/>
  <c r="O34"/>
  <c r="Q34"/>
  <c r="F31"/>
  <c r="H31"/>
  <c r="J31"/>
  <c r="L31"/>
  <c r="N31"/>
  <c r="P31"/>
  <c r="F32"/>
  <c r="H32"/>
  <c r="J32"/>
  <c r="L32"/>
  <c r="N32"/>
  <c r="P32"/>
  <c r="F33"/>
  <c r="H33"/>
  <c r="J33"/>
  <c r="L33"/>
  <c r="N33"/>
  <c r="P33"/>
  <c r="F34"/>
  <c r="H34"/>
  <c r="J34"/>
  <c r="L34"/>
  <c r="N34"/>
  <c r="P34"/>
  <c r="G5"/>
  <c r="F10"/>
  <c r="R71"/>
  <c r="F61"/>
  <c r="R61"/>
  <c r="S71"/>
  <c r="G61"/>
  <c r="S61"/>
  <c r="F5"/>
  <c r="S6"/>
  <c r="S7"/>
  <c r="S32" s="1"/>
  <c r="S8"/>
  <c r="S33" s="1"/>
  <c r="S9"/>
  <c r="S29"/>
  <c r="S25" s="1"/>
  <c r="S40"/>
  <c r="S41"/>
  <c r="S42"/>
  <c r="S43"/>
  <c r="S45"/>
  <c r="S46"/>
  <c r="S47"/>
  <c r="S48"/>
  <c r="R6"/>
  <c r="R7"/>
  <c r="R32" s="1"/>
  <c r="R8"/>
  <c r="R33" s="1"/>
  <c r="R9"/>
  <c r="R29"/>
  <c r="R25" s="1"/>
  <c r="R40"/>
  <c r="R41"/>
  <c r="R42"/>
  <c r="R43"/>
  <c r="R45"/>
  <c r="R46"/>
  <c r="R47"/>
  <c r="R48"/>
  <c r="Q30" l="1"/>
  <c r="M30"/>
  <c r="I30"/>
  <c r="O30"/>
  <c r="K30"/>
  <c r="G30"/>
  <c r="S34"/>
  <c r="N30"/>
  <c r="J30"/>
  <c r="F30"/>
  <c r="P30"/>
  <c r="L30"/>
  <c r="H30"/>
  <c r="R31"/>
  <c r="R5"/>
  <c r="S31"/>
  <c r="S5"/>
  <c r="S44"/>
  <c r="S39"/>
  <c r="R44"/>
  <c r="R39"/>
  <c r="R34"/>
  <c r="S30" l="1"/>
  <c r="R30"/>
</calcChain>
</file>

<file path=xl/sharedStrings.xml><?xml version="1.0" encoding="utf-8"?>
<sst xmlns="http://schemas.openxmlformats.org/spreadsheetml/2006/main" count="11375" uniqueCount="2992">
  <si>
    <t>平　成　２　２　年　度　：　随　意　契　約　</t>
    <rPh sb="0" eb="1">
      <t>ヒラ</t>
    </rPh>
    <rPh sb="2" eb="3">
      <t>シゲル</t>
    </rPh>
    <rPh sb="8" eb="9">
      <t>ネン</t>
    </rPh>
    <rPh sb="10" eb="11">
      <t>タビ</t>
    </rPh>
    <rPh sb="14" eb="15">
      <t>ズイ</t>
    </rPh>
    <rPh sb="16" eb="17">
      <t>イ</t>
    </rPh>
    <rPh sb="18" eb="19">
      <t>チギリ</t>
    </rPh>
    <rPh sb="20" eb="21">
      <t>ヤク</t>
    </rPh>
    <phoneticPr fontId="2"/>
  </si>
  <si>
    <t>①所管公益法人</t>
    <rPh sb="1" eb="3">
      <t>ショカン</t>
    </rPh>
    <rPh sb="3" eb="5">
      <t>コウエキ</t>
    </rPh>
    <rPh sb="5" eb="7">
      <t>ホウジン</t>
    </rPh>
    <phoneticPr fontId="2"/>
  </si>
  <si>
    <t>②その他の公益法人</t>
    <rPh sb="3" eb="4">
      <t>タ</t>
    </rPh>
    <rPh sb="5" eb="7">
      <t>コウエキ</t>
    </rPh>
    <rPh sb="7" eb="9">
      <t>ホウジン</t>
    </rPh>
    <phoneticPr fontId="2"/>
  </si>
  <si>
    <t>　③独立行政法人</t>
    <rPh sb="2" eb="4">
      <t>ドクリツ</t>
    </rPh>
    <rPh sb="4" eb="6">
      <t>ギョウセイ</t>
    </rPh>
    <rPh sb="6" eb="8">
      <t>ホウジン</t>
    </rPh>
    <phoneticPr fontId="2"/>
  </si>
  <si>
    <t>④特殊法人</t>
    <rPh sb="1" eb="5">
      <t>トクシュホウジン</t>
    </rPh>
    <phoneticPr fontId="2"/>
  </si>
  <si>
    <t>⑤特定民間法人</t>
    <rPh sb="1" eb="3">
      <t>トクテイ</t>
    </rPh>
    <rPh sb="3" eb="5">
      <t>ミンカン</t>
    </rPh>
    <rPh sb="5" eb="7">
      <t>ホウジン</t>
    </rPh>
    <phoneticPr fontId="2"/>
  </si>
  <si>
    <t>⑥その他の法人</t>
    <rPh sb="3" eb="4">
      <t>タ</t>
    </rPh>
    <rPh sb="5" eb="7">
      <t>ホウジン</t>
    </rPh>
    <phoneticPr fontId="2"/>
  </si>
  <si>
    <t>合計</t>
    <rPh sb="0" eb="2">
      <t>ゴウケイ</t>
    </rPh>
    <phoneticPr fontId="2"/>
  </si>
  <si>
    <t>件数</t>
    <rPh sb="0" eb="2">
      <t>ケンスウ</t>
    </rPh>
    <phoneticPr fontId="2"/>
  </si>
  <si>
    <t>契約金額</t>
    <rPh sb="0" eb="2">
      <t>ケイヤク</t>
    </rPh>
    <rPh sb="2" eb="4">
      <t>キンガク</t>
    </rPh>
    <phoneticPr fontId="2"/>
  </si>
  <si>
    <t>ア：競争を許さない</t>
    <rPh sb="2" eb="4">
      <t>キョウソウ</t>
    </rPh>
    <rPh sb="5" eb="6">
      <t>ユル</t>
    </rPh>
    <phoneticPr fontId="2"/>
  </si>
  <si>
    <t>３４８件ok</t>
    <rPh sb="3" eb="4">
      <t>ケン</t>
    </rPh>
    <phoneticPr fontId="2"/>
  </si>
  <si>
    <t>　　整理済分（Ａ）</t>
    <rPh sb="2" eb="4">
      <t>セイリ</t>
    </rPh>
    <rPh sb="4" eb="5">
      <t>ズ</t>
    </rPh>
    <rPh sb="5" eb="6">
      <t>ブン</t>
    </rPh>
    <phoneticPr fontId="2"/>
  </si>
  <si>
    <t>　　23年度以降計画分(B)</t>
    <rPh sb="4" eb="6">
      <t>ネンド</t>
    </rPh>
    <rPh sb="6" eb="8">
      <t>イコウ</t>
    </rPh>
    <rPh sb="8" eb="10">
      <t>ケイカク</t>
    </rPh>
    <rPh sb="10" eb="11">
      <t>ブン</t>
    </rPh>
    <phoneticPr fontId="2"/>
  </si>
  <si>
    <t>　　22年度以前未実施（C)</t>
    <rPh sb="4" eb="6">
      <t>ネンド</t>
    </rPh>
    <rPh sb="6" eb="8">
      <t>イゼン</t>
    </rPh>
    <rPh sb="8" eb="11">
      <t>ミジッシ</t>
    </rPh>
    <phoneticPr fontId="2"/>
  </si>
  <si>
    <t>　　未整理分（D)</t>
    <rPh sb="2" eb="5">
      <t>ミセイリ</t>
    </rPh>
    <rPh sb="5" eb="6">
      <t>ブン</t>
    </rPh>
    <phoneticPr fontId="2"/>
  </si>
  <si>
    <t>イ：緊急のため</t>
    <rPh sb="2" eb="4">
      <t>キンキュウ</t>
    </rPh>
    <phoneticPr fontId="2"/>
  </si>
  <si>
    <t>４件ｏｋ</t>
    <rPh sb="1" eb="2">
      <t>ケン</t>
    </rPh>
    <phoneticPr fontId="2"/>
  </si>
  <si>
    <t>ウ：競争が不利</t>
    <rPh sb="2" eb="4">
      <t>キョウソウ</t>
    </rPh>
    <rPh sb="5" eb="7">
      <t>フリ</t>
    </rPh>
    <phoneticPr fontId="2"/>
  </si>
  <si>
    <t>０件ｏｋ</t>
    <rPh sb="1" eb="2">
      <t>ケン</t>
    </rPh>
    <phoneticPr fontId="2"/>
  </si>
  <si>
    <t>１５件ｏｋ</t>
    <rPh sb="2" eb="3">
      <t>ケン</t>
    </rPh>
    <phoneticPr fontId="2"/>
  </si>
  <si>
    <t>カ：その他</t>
    <rPh sb="4" eb="5">
      <t>タ</t>
    </rPh>
    <phoneticPr fontId="2"/>
  </si>
  <si>
    <t>予決令第99条第1号による</t>
    <rPh sb="0" eb="1">
      <t>ヨ</t>
    </rPh>
    <rPh sb="1" eb="2">
      <t>ケツ</t>
    </rPh>
    <rPh sb="2" eb="3">
      <t>レイ</t>
    </rPh>
    <rPh sb="3" eb="4">
      <t>ダイ</t>
    </rPh>
    <rPh sb="6" eb="7">
      <t>ジョウ</t>
    </rPh>
    <rPh sb="7" eb="8">
      <t>ダイ</t>
    </rPh>
    <rPh sb="9" eb="10">
      <t>ゴウ</t>
    </rPh>
    <phoneticPr fontId="2"/>
  </si>
  <si>
    <t>　　随意契約合計から、企画競争、公募、不落随契分を差し引いた係数と一致</t>
    <rPh sb="2" eb="4">
      <t>ズイイ</t>
    </rPh>
    <rPh sb="4" eb="6">
      <t>ケイヤク</t>
    </rPh>
    <rPh sb="6" eb="8">
      <t>ゴウケイ</t>
    </rPh>
    <rPh sb="11" eb="13">
      <t>キカク</t>
    </rPh>
    <rPh sb="13" eb="15">
      <t>キョウソウ</t>
    </rPh>
    <rPh sb="16" eb="18">
      <t>コウボ</t>
    </rPh>
    <rPh sb="19" eb="20">
      <t>フ</t>
    </rPh>
    <rPh sb="20" eb="21">
      <t>ラク</t>
    </rPh>
    <rPh sb="21" eb="23">
      <t>ズイケイ</t>
    </rPh>
    <rPh sb="23" eb="24">
      <t>ブン</t>
    </rPh>
    <rPh sb="25" eb="26">
      <t>サ</t>
    </rPh>
    <rPh sb="27" eb="28">
      <t>ヒ</t>
    </rPh>
    <rPh sb="30" eb="32">
      <t>ケイスウ</t>
    </rPh>
    <rPh sb="33" eb="35">
      <t>イッチ</t>
    </rPh>
    <phoneticPr fontId="2"/>
  </si>
  <si>
    <t>合　　計</t>
    <rPh sb="0" eb="1">
      <t>ゴウ</t>
    </rPh>
    <rPh sb="3" eb="4">
      <t>ケイ</t>
    </rPh>
    <phoneticPr fontId="2"/>
  </si>
  <si>
    <r>
      <t>随契合計件数７１３件－企画１９１件－公募９９件－不落９件＝</t>
    </r>
    <r>
      <rPr>
        <b/>
        <sz val="14"/>
        <color theme="1"/>
        <rFont val="ＭＳ Ｐゴシック"/>
        <family val="3"/>
        <charset val="128"/>
        <scheme val="minor"/>
      </rPr>
      <t>４１４件</t>
    </r>
    <rPh sb="0" eb="1">
      <t>ズイ</t>
    </rPh>
    <rPh sb="1" eb="2">
      <t>ケイ</t>
    </rPh>
    <rPh sb="2" eb="4">
      <t>ゴウケイ</t>
    </rPh>
    <rPh sb="4" eb="6">
      <t>ケンスウ</t>
    </rPh>
    <rPh sb="9" eb="10">
      <t>ケン</t>
    </rPh>
    <rPh sb="11" eb="13">
      <t>キカク</t>
    </rPh>
    <rPh sb="16" eb="17">
      <t>ケン</t>
    </rPh>
    <rPh sb="18" eb="20">
      <t>コウボ</t>
    </rPh>
    <rPh sb="22" eb="23">
      <t>ケン</t>
    </rPh>
    <rPh sb="24" eb="25">
      <t>フ</t>
    </rPh>
    <rPh sb="25" eb="26">
      <t>ラク</t>
    </rPh>
    <rPh sb="27" eb="28">
      <t>ケン</t>
    </rPh>
    <rPh sb="32" eb="33">
      <t>ケン</t>
    </rPh>
    <phoneticPr fontId="2"/>
  </si>
  <si>
    <t>=24,022,387,088</t>
    <phoneticPr fontId="2"/>
  </si>
  <si>
    <t>うち、所管公益法人等</t>
    <rPh sb="3" eb="5">
      <t>ショカン</t>
    </rPh>
    <rPh sb="5" eb="7">
      <t>コウエキ</t>
    </rPh>
    <rPh sb="7" eb="9">
      <t>ホウジン</t>
    </rPh>
    <rPh sb="9" eb="10">
      <t>トウ</t>
    </rPh>
    <phoneticPr fontId="2"/>
  </si>
  <si>
    <t>うち、所管公益法人等以外の法人等</t>
    <rPh sb="3" eb="5">
      <t>ショカン</t>
    </rPh>
    <rPh sb="5" eb="7">
      <t>コウエキ</t>
    </rPh>
    <rPh sb="7" eb="9">
      <t>ホウジン</t>
    </rPh>
    <rPh sb="9" eb="10">
      <t>トウ</t>
    </rPh>
    <rPh sb="10" eb="12">
      <t>イガイ</t>
    </rPh>
    <rPh sb="13" eb="15">
      <t>ホウジン</t>
    </rPh>
    <rPh sb="15" eb="16">
      <t>トウ</t>
    </rPh>
    <phoneticPr fontId="2"/>
  </si>
  <si>
    <t>２３年度以降計画分(B)</t>
    <rPh sb="2" eb="4">
      <t>ネンド</t>
    </rPh>
    <rPh sb="4" eb="6">
      <t>イコウ</t>
    </rPh>
    <rPh sb="6" eb="8">
      <t>ケイカク</t>
    </rPh>
    <rPh sb="8" eb="9">
      <t>ブン</t>
    </rPh>
    <phoneticPr fontId="2"/>
  </si>
  <si>
    <t>　２３年度</t>
    <rPh sb="3" eb="5">
      <t>ネンド</t>
    </rPh>
    <phoneticPr fontId="2"/>
  </si>
  <si>
    <t>　２４年度</t>
    <rPh sb="3" eb="5">
      <t>ネンド</t>
    </rPh>
    <phoneticPr fontId="2"/>
  </si>
  <si>
    <t>　２５年度以降</t>
    <rPh sb="3" eb="5">
      <t>ネンド</t>
    </rPh>
    <rPh sb="5" eb="7">
      <t>イコウ</t>
    </rPh>
    <phoneticPr fontId="2"/>
  </si>
  <si>
    <t>　その他</t>
    <rPh sb="3" eb="4">
      <t>タ</t>
    </rPh>
    <phoneticPr fontId="2"/>
  </si>
  <si>
    <t>２２年度以前計画未実施分（Ｃ）</t>
    <rPh sb="2" eb="4">
      <t>ネンド</t>
    </rPh>
    <rPh sb="4" eb="6">
      <t>イゼン</t>
    </rPh>
    <rPh sb="6" eb="8">
      <t>ケイカク</t>
    </rPh>
    <rPh sb="8" eb="11">
      <t>ミジッシ</t>
    </rPh>
    <rPh sb="11" eb="12">
      <t>ブン</t>
    </rPh>
    <phoneticPr fontId="2"/>
  </si>
  <si>
    <t>　ｲ(ｲ)法令の規定による</t>
    <rPh sb="5" eb="7">
      <t>ホウレイ</t>
    </rPh>
    <rPh sb="8" eb="10">
      <t>キテイ</t>
    </rPh>
    <phoneticPr fontId="2"/>
  </si>
  <si>
    <t>　ｲ(ﾛ)条約等の国際的取決め</t>
    <rPh sb="5" eb="7">
      <t>ジョウヤク</t>
    </rPh>
    <rPh sb="7" eb="8">
      <t>トウ</t>
    </rPh>
    <rPh sb="9" eb="12">
      <t>コクサイテキ</t>
    </rPh>
    <rPh sb="12" eb="13">
      <t>ト</t>
    </rPh>
    <rPh sb="13" eb="14">
      <t>キ</t>
    </rPh>
    <phoneticPr fontId="2"/>
  </si>
  <si>
    <t>　ﾛ場所が限定される賃貸借等</t>
    <rPh sb="2" eb="4">
      <t>バショ</t>
    </rPh>
    <rPh sb="5" eb="7">
      <t>ゲンテイ</t>
    </rPh>
    <rPh sb="10" eb="13">
      <t>チンタイシャク</t>
    </rPh>
    <rPh sb="13" eb="14">
      <t>トウ</t>
    </rPh>
    <phoneticPr fontId="2"/>
  </si>
  <si>
    <t>　ﾊ官報、法律案等の印刷等</t>
    <rPh sb="2" eb="4">
      <t>カンポウ</t>
    </rPh>
    <rPh sb="5" eb="8">
      <t>ホウリツアン</t>
    </rPh>
    <rPh sb="8" eb="9">
      <t>トウ</t>
    </rPh>
    <rPh sb="10" eb="12">
      <t>インサツ</t>
    </rPh>
    <rPh sb="12" eb="13">
      <t>トウ</t>
    </rPh>
    <phoneticPr fontId="2"/>
  </si>
  <si>
    <t>　ﾆ(ﾛ)電気、ｶﾞｽ、水道、電話等</t>
    <rPh sb="5" eb="7">
      <t>デンキ</t>
    </rPh>
    <rPh sb="12" eb="14">
      <t>スイドウ</t>
    </rPh>
    <rPh sb="15" eb="17">
      <t>デンワ</t>
    </rPh>
    <rPh sb="17" eb="18">
      <t>トウ</t>
    </rPh>
    <phoneticPr fontId="2"/>
  </si>
  <si>
    <t>　ﾆ(ﾊ)郵便</t>
    <rPh sb="5" eb="7">
      <t>ユウビン</t>
    </rPh>
    <phoneticPr fontId="2"/>
  </si>
  <si>
    <t>　ﾆ(ﾆ)出版元からの書籍購入）</t>
    <rPh sb="5" eb="8">
      <t>シュッパンモト</t>
    </rPh>
    <rPh sb="11" eb="13">
      <t>ショセキ</t>
    </rPh>
    <rPh sb="13" eb="15">
      <t>コウニュウ</t>
    </rPh>
    <phoneticPr fontId="2"/>
  </si>
  <si>
    <t>　ﾆ(ﾍ)行政目的達成のための情報</t>
    <rPh sb="5" eb="7">
      <t>ギョウセイ</t>
    </rPh>
    <rPh sb="7" eb="9">
      <t>モクテキ</t>
    </rPh>
    <rPh sb="9" eb="11">
      <t>タッセイ</t>
    </rPh>
    <rPh sb="15" eb="17">
      <t>ジョウホウ</t>
    </rPh>
    <phoneticPr fontId="2"/>
  </si>
  <si>
    <t>　　未整理分（D）</t>
    <rPh sb="2" eb="3">
      <t>ミ</t>
    </rPh>
    <rPh sb="3" eb="5">
      <t>セイリ</t>
    </rPh>
    <rPh sb="5" eb="6">
      <t>ブン</t>
    </rPh>
    <phoneticPr fontId="2"/>
  </si>
  <si>
    <t>済→</t>
    <rPh sb="0" eb="1">
      <t>ス</t>
    </rPh>
    <phoneticPr fontId="2"/>
  </si>
  <si>
    <t>　既に競争性導入済み案件の関連契約</t>
    <rPh sb="1" eb="2">
      <t>スデ</t>
    </rPh>
    <rPh sb="3" eb="6">
      <t>キョウソウセイ</t>
    </rPh>
    <rPh sb="6" eb="8">
      <t>ドウニュウ</t>
    </rPh>
    <rPh sb="8" eb="9">
      <t>ズ</t>
    </rPh>
    <rPh sb="10" eb="12">
      <t>アンケン</t>
    </rPh>
    <rPh sb="13" eb="15">
      <t>カンレン</t>
    </rPh>
    <rPh sb="15" eb="17">
      <t>ケイヤク</t>
    </rPh>
    <phoneticPr fontId="2"/>
  </si>
  <si>
    <t>一定→</t>
    <rPh sb="0" eb="2">
      <t>イッテイ</t>
    </rPh>
    <phoneticPr fontId="2"/>
  </si>
  <si>
    <t>　(機器等）今後も一定期間使用可能</t>
    <rPh sb="2" eb="4">
      <t>キキ</t>
    </rPh>
    <rPh sb="4" eb="5">
      <t>トウ</t>
    </rPh>
    <rPh sb="6" eb="8">
      <t>コンゴ</t>
    </rPh>
    <rPh sb="9" eb="11">
      <t>イッテイ</t>
    </rPh>
    <rPh sb="11" eb="13">
      <t>キカン</t>
    </rPh>
    <rPh sb="13" eb="15">
      <t>シヨウ</t>
    </rPh>
    <rPh sb="15" eb="17">
      <t>カノウ</t>
    </rPh>
    <phoneticPr fontId="2"/>
  </si>
  <si>
    <t>複数→</t>
    <rPh sb="0" eb="2">
      <t>フクスウ</t>
    </rPh>
    <phoneticPr fontId="2"/>
  </si>
  <si>
    <t>　当初の契約において複数年度契約想定</t>
    <rPh sb="1" eb="3">
      <t>トウショ</t>
    </rPh>
    <rPh sb="4" eb="6">
      <t>ケイヤク</t>
    </rPh>
    <rPh sb="10" eb="12">
      <t>フクスウ</t>
    </rPh>
    <rPh sb="12" eb="14">
      <t>ネンド</t>
    </rPh>
    <rPh sb="14" eb="16">
      <t>ケイヤク</t>
    </rPh>
    <rPh sb="16" eb="18">
      <t>ソウテイ</t>
    </rPh>
    <phoneticPr fontId="2"/>
  </si>
  <si>
    <t>稼働→</t>
    <rPh sb="0" eb="2">
      <t>カドウ</t>
    </rPh>
    <phoneticPr fontId="2"/>
  </si>
  <si>
    <t>継続→</t>
    <rPh sb="0" eb="2">
      <t>ケイゾク</t>
    </rPh>
    <phoneticPr fontId="2"/>
  </si>
  <si>
    <t>　内容の整合性、継続性確保</t>
    <rPh sb="1" eb="3">
      <t>ナイヨウ</t>
    </rPh>
    <rPh sb="4" eb="7">
      <t>セイゴウセイ</t>
    </rPh>
    <rPh sb="8" eb="11">
      <t>ケイゾクセイ</t>
    </rPh>
    <rPh sb="11" eb="13">
      <t>カクホ</t>
    </rPh>
    <phoneticPr fontId="2"/>
  </si>
  <si>
    <t>通達→</t>
    <rPh sb="0" eb="2">
      <t>ツウタツ</t>
    </rPh>
    <phoneticPr fontId="2"/>
  </si>
  <si>
    <t>　財務通達（随契によらざるを得ない）に該当</t>
    <rPh sb="1" eb="3">
      <t>ザイム</t>
    </rPh>
    <rPh sb="3" eb="5">
      <t>ツウタツ</t>
    </rPh>
    <rPh sb="6" eb="8">
      <t>ズイケイ</t>
    </rPh>
    <rPh sb="14" eb="15">
      <t>エ</t>
    </rPh>
    <rPh sb="19" eb="21">
      <t>ガイトウ</t>
    </rPh>
    <phoneticPr fontId="2"/>
  </si>
  <si>
    <t>外交→</t>
    <rPh sb="0" eb="2">
      <t>ガイコウ</t>
    </rPh>
    <phoneticPr fontId="2"/>
  </si>
  <si>
    <t>　客側の希望・外交上の配慮</t>
    <rPh sb="1" eb="3">
      <t>キャクガワ</t>
    </rPh>
    <rPh sb="4" eb="6">
      <t>キボウ</t>
    </rPh>
    <rPh sb="7" eb="10">
      <t>ガイコウジョウ</t>
    </rPh>
    <rPh sb="11" eb="13">
      <t>ハイリョ</t>
    </rPh>
    <phoneticPr fontId="2"/>
  </si>
  <si>
    <t>緊急→</t>
    <rPh sb="0" eb="2">
      <t>キンキュウ</t>
    </rPh>
    <phoneticPr fontId="2"/>
  </si>
  <si>
    <t>　緊急案件</t>
    <rPh sb="1" eb="3">
      <t>キンキュウ</t>
    </rPh>
    <rPh sb="3" eb="5">
      <t>アンケン</t>
    </rPh>
    <phoneticPr fontId="2"/>
  </si>
  <si>
    <t>その他→</t>
    <rPh sb="2" eb="3">
      <t>タ</t>
    </rPh>
    <phoneticPr fontId="2"/>
  </si>
  <si>
    <t>　その他の理由</t>
    <rPh sb="3" eb="4">
      <t>タ</t>
    </rPh>
    <rPh sb="5" eb="7">
      <t>リユウ</t>
    </rPh>
    <phoneticPr fontId="2"/>
  </si>
  <si>
    <t>秘→</t>
    <rPh sb="0" eb="1">
      <t>ヒ</t>
    </rPh>
    <phoneticPr fontId="2"/>
  </si>
  <si>
    <t>予決令第99条１該当案件</t>
    <rPh sb="0" eb="2">
      <t>ヨケツ</t>
    </rPh>
    <rPh sb="2" eb="3">
      <t>レイ</t>
    </rPh>
    <rPh sb="3" eb="4">
      <t>ダイ</t>
    </rPh>
    <rPh sb="6" eb="7">
      <t>ジョウ</t>
    </rPh>
    <rPh sb="8" eb="10">
      <t>ガイトウ</t>
    </rPh>
    <rPh sb="10" eb="12">
      <t>アンケン</t>
    </rPh>
    <phoneticPr fontId="2"/>
  </si>
  <si>
    <t>・契約相手　　　　　　　　　　　　　　　　　　　　　　　　　　①～⑥</t>
    <rPh sb="1" eb="3">
      <t>ケイヤク</t>
    </rPh>
    <rPh sb="3" eb="5">
      <t>アイテ</t>
    </rPh>
    <phoneticPr fontId="2"/>
  </si>
  <si>
    <t>・整理済み分：A</t>
    <rPh sb="1" eb="3">
      <t>セイリ</t>
    </rPh>
    <rPh sb="3" eb="4">
      <t>ス</t>
    </rPh>
    <rPh sb="5" eb="6">
      <t>ブン</t>
    </rPh>
    <phoneticPr fontId="2"/>
  </si>
  <si>
    <t>・移行予定○</t>
    <rPh sb="1" eb="3">
      <t>イコウ</t>
    </rPh>
    <rPh sb="3" eb="5">
      <t>ヨテイ</t>
    </rPh>
    <phoneticPr fontId="2"/>
  </si>
  <si>
    <t>・23以降計画分：B</t>
    <rPh sb="3" eb="5">
      <t>イコウ</t>
    </rPh>
    <rPh sb="5" eb="7">
      <t>ケイカク</t>
    </rPh>
    <rPh sb="7" eb="8">
      <t>ブン</t>
    </rPh>
    <phoneticPr fontId="2"/>
  </si>
  <si>
    <t>・随契に依らざる得ない◎</t>
    <rPh sb="1" eb="2">
      <t>ズイ</t>
    </rPh>
    <rPh sb="2" eb="3">
      <t>チギリ</t>
    </rPh>
    <rPh sb="4" eb="5">
      <t>ヨ</t>
    </rPh>
    <rPh sb="8" eb="9">
      <t>エ</t>
    </rPh>
    <phoneticPr fontId="2"/>
  </si>
  <si>
    <t>通　番</t>
    <rPh sb="0" eb="1">
      <t>ツウ</t>
    </rPh>
    <rPh sb="2" eb="3">
      <t>バン</t>
    </rPh>
    <phoneticPr fontId="4"/>
  </si>
  <si>
    <t>ＨＰ公表
リストNo.</t>
    <rPh sb="2" eb="4">
      <t>コウヒョウ</t>
    </rPh>
    <phoneticPr fontId="4"/>
  </si>
  <si>
    <t>案件番号</t>
    <rPh sb="0" eb="2">
      <t>アンケン</t>
    </rPh>
    <rPh sb="2" eb="4">
      <t>バンゴウ</t>
    </rPh>
    <phoneticPr fontId="4"/>
  </si>
  <si>
    <t>枝番</t>
    <rPh sb="0" eb="2">
      <t>エダバン</t>
    </rPh>
    <phoneticPr fontId="4"/>
  </si>
  <si>
    <t>決裁書番号</t>
    <rPh sb="0" eb="3">
      <t>ケッサイショ</t>
    </rPh>
    <rPh sb="3" eb="5">
      <t>バンゴウ</t>
    </rPh>
    <phoneticPr fontId="4"/>
  </si>
  <si>
    <t>主管課</t>
    <rPh sb="0" eb="3">
      <t>シュカンカ</t>
    </rPh>
    <phoneticPr fontId="4"/>
  </si>
  <si>
    <t>調達担当
（所属）</t>
    <rPh sb="0" eb="2">
      <t>チョウタツ</t>
    </rPh>
    <rPh sb="2" eb="4">
      <t>タントウ</t>
    </rPh>
    <rPh sb="6" eb="8">
      <t>ショゾク</t>
    </rPh>
    <phoneticPr fontId="4"/>
  </si>
  <si>
    <t>調達担当
（氏名）</t>
    <rPh sb="0" eb="2">
      <t>チョウタツ</t>
    </rPh>
    <rPh sb="2" eb="4">
      <t>タントウ</t>
    </rPh>
    <rPh sb="6" eb="8">
      <t>シメイ</t>
    </rPh>
    <phoneticPr fontId="4"/>
  </si>
  <si>
    <t>契約相手
＋
随契理由</t>
    <rPh sb="0" eb="2">
      <t>ケイヤク</t>
    </rPh>
    <rPh sb="2" eb="4">
      <t>アイテ</t>
    </rPh>
    <rPh sb="7" eb="8">
      <t>ズイ</t>
    </rPh>
    <rPh sb="8" eb="9">
      <t>ケイ</t>
    </rPh>
    <rPh sb="9" eb="11">
      <t>リユウ</t>
    </rPh>
    <phoneticPr fontId="4"/>
  </si>
  <si>
    <t xml:space="preserve">
 契約相手》
①所管公益
②その他公
③独立行政
④特殊法人
⑤特定民間
⑥その他法「公共工事」</t>
    <rPh sb="2" eb="4">
      <t>ケイヤク</t>
    </rPh>
    <rPh sb="4" eb="6">
      <t>アイテ</t>
    </rPh>
    <rPh sb="9" eb="11">
      <t>ショカン</t>
    </rPh>
    <rPh sb="11" eb="13">
      <t>コウエキ</t>
    </rPh>
    <rPh sb="41" eb="42">
      <t>タ</t>
    </rPh>
    <rPh sb="42" eb="43">
      <t>ホウ</t>
    </rPh>
    <rPh sb="44" eb="46">
      <t>コウキョウ</t>
    </rPh>
    <rPh sb="46" eb="48">
      <t>コウジ</t>
    </rPh>
    <phoneticPr fontId="4"/>
  </si>
  <si>
    <t xml:space="preserve">
随契理由》
ｱ 競争を許　 ｲ 緊急の為 
ｳ 競争が不 ｴ 不調･不落
ｵ 特例政令
ｶ その他
ｷ 秘密随契</t>
    <rPh sb="1" eb="2">
      <t>ズイ</t>
    </rPh>
    <rPh sb="2" eb="3">
      <t>ケイ</t>
    </rPh>
    <rPh sb="3" eb="5">
      <t>リユウ</t>
    </rPh>
    <rPh sb="9" eb="11">
      <t>キョウソウ</t>
    </rPh>
    <rPh sb="12" eb="13">
      <t>ユル</t>
    </rPh>
    <rPh sb="17" eb="19">
      <t>キンキュウ</t>
    </rPh>
    <rPh sb="20" eb="21">
      <t>タメ</t>
    </rPh>
    <rPh sb="25" eb="27">
      <t>キョウソウ</t>
    </rPh>
    <rPh sb="32" eb="34">
      <t>フチョウ</t>
    </rPh>
    <rPh sb="35" eb="36">
      <t>フ</t>
    </rPh>
    <rPh sb="36" eb="37">
      <t>ラク</t>
    </rPh>
    <rPh sb="40" eb="42">
      <t>トクレイ</t>
    </rPh>
    <rPh sb="42" eb="44">
      <t>セイレイ</t>
    </rPh>
    <rPh sb="49" eb="50">
      <t>タ</t>
    </rPh>
    <rPh sb="53" eb="55">
      <t>ヒミツ</t>
    </rPh>
    <rPh sb="55" eb="56">
      <t>ズイ</t>
    </rPh>
    <rPh sb="56" eb="57">
      <t>ケイ</t>
    </rPh>
    <phoneticPr fontId="4"/>
  </si>
  <si>
    <t>No.</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</si>
  <si>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</si>
  <si>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
その所属する部局名称及び
所在地</t>
    <rPh sb="0" eb="2">
      <t>ケイヤク</t>
    </rPh>
    <rPh sb="2" eb="5">
      <t>タントウカン</t>
    </rPh>
    <rPh sb="5" eb="6">
      <t>トウ</t>
    </rPh>
    <rPh sb="7" eb="9">
      <t>シメイ</t>
    </rPh>
    <rPh sb="9" eb="10">
      <t>ナラ</t>
    </rPh>
    <rPh sb="15" eb="17">
      <t>ショゾク</t>
    </rPh>
    <rPh sb="19" eb="21">
      <t>ブキョク</t>
    </rPh>
    <rPh sb="21" eb="23">
      <t>メイショウ</t>
    </rPh>
    <rPh sb="23" eb="24">
      <t>オヨ</t>
    </rPh>
    <rPh sb="26" eb="29">
      <t>ショザイチ</t>
    </rPh>
    <phoneticPr fontId="4"/>
  </si>
  <si>
    <t>契約を締結した日</t>
    <rPh sb="0" eb="2">
      <t>ケイヤク</t>
    </rPh>
    <rPh sb="3" eb="5">
      <t>テイケツ</t>
    </rPh>
    <rPh sb="7" eb="8">
      <t>ヒ</t>
    </rPh>
    <phoneticPr fontId="4"/>
  </si>
  <si>
    <t>契約の相手方の名称</t>
    <rPh sb="0" eb="2">
      <t>ケイヤク</t>
    </rPh>
    <rPh sb="3" eb="6">
      <t>アイテカタ</t>
    </rPh>
    <rPh sb="7" eb="9">
      <t>メイショウ</t>
    </rPh>
    <phoneticPr fontId="4"/>
  </si>
  <si>
    <t>契約の相手方の住所</t>
    <rPh sb="0" eb="2">
      <t>ケイヤク</t>
    </rPh>
    <rPh sb="3" eb="6">
      <t>アイテカタ</t>
    </rPh>
    <rPh sb="7" eb="9">
      <t>ジュウショ</t>
    </rPh>
    <phoneticPr fontId="4"/>
  </si>
  <si>
    <t>随意契約によることとした会計法令の根拠
条文及びその理由（企画競争又は公募）</t>
    <rPh sb="0" eb="2">
      <t>ズイイ</t>
    </rPh>
    <rPh sb="2" eb="4">
      <t>ケイヤク</t>
    </rPh>
    <rPh sb="12" eb="14">
      <t>カイケイ</t>
    </rPh>
    <rPh sb="14" eb="16">
      <t>ホウレイ</t>
    </rPh>
    <rPh sb="17" eb="19">
      <t>コンキョ</t>
    </rPh>
    <rPh sb="20" eb="22">
      <t>ジョウブン</t>
    </rPh>
    <rPh sb="22" eb="23">
      <t>オヨ</t>
    </rPh>
    <rPh sb="26" eb="28">
      <t>リユウ</t>
    </rPh>
    <rPh sb="29" eb="31">
      <t>キカク</t>
    </rPh>
    <rPh sb="31" eb="33">
      <t>キョウソウ</t>
    </rPh>
    <rPh sb="33" eb="34">
      <t>マタ</t>
    </rPh>
    <rPh sb="35" eb="37">
      <t>コウボ</t>
    </rPh>
    <phoneticPr fontId="4"/>
  </si>
  <si>
    <t>予定価格</t>
    <rPh sb="0" eb="2">
      <t>ヨテイ</t>
    </rPh>
    <rPh sb="2" eb="4">
      <t>カカク</t>
    </rPh>
    <phoneticPr fontId="4"/>
  </si>
  <si>
    <t>契約金額</t>
    <rPh sb="0" eb="3">
      <t>ケイヤクキン</t>
    </rPh>
    <rPh sb="3" eb="4">
      <t>ガク</t>
    </rPh>
    <phoneticPr fontId="4"/>
  </si>
  <si>
    <t>落札率</t>
    <rPh sb="0" eb="2">
      <t>ラクサツ</t>
    </rPh>
    <rPh sb="2" eb="3">
      <t>リツ</t>
    </rPh>
    <phoneticPr fontId="4"/>
  </si>
  <si>
    <t>再就職の
役員の数</t>
    <rPh sb="0" eb="3">
      <t>サイシュウショク</t>
    </rPh>
    <rPh sb="5" eb="7">
      <t>ヤクイン</t>
    </rPh>
    <rPh sb="8" eb="9">
      <t>カズ</t>
    </rPh>
    <phoneticPr fontId="4"/>
  </si>
  <si>
    <t>備考</t>
    <rPh sb="0" eb="2">
      <t>ビコウ</t>
    </rPh>
    <phoneticPr fontId="4"/>
  </si>
  <si>
    <t>備考２
応募者数</t>
    <rPh sb="0" eb="1">
      <t>ソナエ</t>
    </rPh>
    <rPh sb="1" eb="2">
      <t>コウ</t>
    </rPh>
    <rPh sb="4" eb="8">
      <t>オウボシャスウ</t>
    </rPh>
    <phoneticPr fontId="4"/>
  </si>
  <si>
    <t>契約相手
×
随契理由
×
応募者数
（企画・公募）</t>
    <rPh sb="0" eb="2">
      <t>ケイヤク</t>
    </rPh>
    <rPh sb="2" eb="4">
      <t>アイテ</t>
    </rPh>
    <rPh sb="7" eb="8">
      <t>ズイ</t>
    </rPh>
    <rPh sb="8" eb="9">
      <t>ケイ</t>
    </rPh>
    <rPh sb="9" eb="11">
      <t>リユウ</t>
    </rPh>
    <rPh sb="14" eb="18">
      <t>オウボシャスウ</t>
    </rPh>
    <rPh sb="20" eb="22">
      <t>キカク</t>
    </rPh>
    <rPh sb="23" eb="25">
      <t>コウボ</t>
    </rPh>
    <phoneticPr fontId="4"/>
  </si>
  <si>
    <t>契約方式</t>
    <rPh sb="0" eb="2">
      <t>ケイヤク</t>
    </rPh>
    <rPh sb="2" eb="4">
      <t>ホウシキ</t>
    </rPh>
    <phoneticPr fontId="4"/>
  </si>
  <si>
    <t>契約種類</t>
    <rPh sb="0" eb="2">
      <t>ケイヤク</t>
    </rPh>
    <rPh sb="2" eb="4">
      <t>シュルイ</t>
    </rPh>
    <phoneticPr fontId="4"/>
  </si>
  <si>
    <t>応募者数</t>
    <rPh sb="0" eb="4">
      <t>オウボシャスウ</t>
    </rPh>
    <phoneticPr fontId="4"/>
  </si>
  <si>
    <t>備考</t>
    <rPh sb="0" eb="2">
      <t>ビコウ</t>
    </rPh>
    <phoneticPr fontId="20"/>
  </si>
  <si>
    <t>対22年度契約比較用通番</t>
    <rPh sb="7" eb="9">
      <t>ヒカク</t>
    </rPh>
    <phoneticPr fontId="20"/>
  </si>
  <si>
    <t>契約の相手方の称号
又は名称</t>
    <rPh sb="0" eb="2">
      <t>ケイヤク</t>
    </rPh>
    <rPh sb="3" eb="6">
      <t>アイテガタ</t>
    </rPh>
    <rPh sb="7" eb="9">
      <t>ショウゴウ</t>
    </rPh>
    <rPh sb="10" eb="11">
      <t>マタ</t>
    </rPh>
    <rPh sb="12" eb="14">
      <t>メイショウ</t>
    </rPh>
    <phoneticPr fontId="20"/>
  </si>
  <si>
    <t>公共工事の名称、場所、期間及び種別若しくは物品役務等の名称及び数量</t>
    <rPh sb="0" eb="2">
      <t>コウキョウ</t>
    </rPh>
    <rPh sb="2" eb="4">
      <t>コウジ</t>
    </rPh>
    <rPh sb="5" eb="7">
      <t>メイショウ</t>
    </rPh>
    <rPh sb="8" eb="10">
      <t>バショ</t>
    </rPh>
    <rPh sb="11" eb="13">
      <t>キカン</t>
    </rPh>
    <rPh sb="13" eb="14">
      <t>オヨ</t>
    </rPh>
    <rPh sb="15" eb="17">
      <t>シュベツ</t>
    </rPh>
    <rPh sb="17" eb="18">
      <t>モ</t>
    </rPh>
    <rPh sb="21" eb="23">
      <t>ブッピン</t>
    </rPh>
    <rPh sb="23" eb="25">
      <t>エキム</t>
    </rPh>
    <rPh sb="25" eb="26">
      <t>トウ</t>
    </rPh>
    <rPh sb="27" eb="29">
      <t>メイショウ</t>
    </rPh>
    <rPh sb="29" eb="30">
      <t>オヨ</t>
    </rPh>
    <rPh sb="31" eb="33">
      <t>スウリョウ</t>
    </rPh>
    <phoneticPr fontId="20"/>
  </si>
  <si>
    <t>契約を締結した日</t>
    <rPh sb="0" eb="2">
      <t>ケイヤク</t>
    </rPh>
    <rPh sb="3" eb="5">
      <t>テイケツ</t>
    </rPh>
    <rPh sb="7" eb="8">
      <t>ヒ</t>
    </rPh>
    <phoneticPr fontId="20"/>
  </si>
  <si>
    <t>契約金額
（円）</t>
    <rPh sb="0" eb="2">
      <t>ケイヤク</t>
    </rPh>
    <rPh sb="2" eb="4">
      <t>キンガク</t>
    </rPh>
    <rPh sb="6" eb="7">
      <t>エン</t>
    </rPh>
    <phoneticPr fontId="20"/>
  </si>
  <si>
    <t>随意契約によることとした理由
（具体的かつ詳細に記載）</t>
    <rPh sb="0" eb="2">
      <t>ズイイ</t>
    </rPh>
    <rPh sb="2" eb="4">
      <t>ケイヤク</t>
    </rPh>
    <rPh sb="12" eb="14">
      <t>リユウ</t>
    </rPh>
    <rPh sb="16" eb="19">
      <t>グタイテキ</t>
    </rPh>
    <rPh sb="21" eb="23">
      <t>ショウサイ</t>
    </rPh>
    <rPh sb="24" eb="26">
      <t>キサイ</t>
    </rPh>
    <phoneticPr fontId="20"/>
  </si>
  <si>
    <t>緊急点検の結果</t>
    <rPh sb="0" eb="2">
      <t>キンキュウ</t>
    </rPh>
    <rPh sb="2" eb="4">
      <t>テンケン</t>
    </rPh>
    <rPh sb="5" eb="7">
      <t>ケッカ</t>
    </rPh>
    <phoneticPr fontId="20"/>
  </si>
  <si>
    <t>講ずる措置</t>
    <rPh sb="0" eb="1">
      <t>コウ</t>
    </rPh>
    <rPh sb="3" eb="5">
      <t>ソチ</t>
    </rPh>
    <phoneticPr fontId="20"/>
  </si>
  <si>
    <t>移行困難な理由
＊＊＊＊＊＊＊＊＊＊＊＊＊＊＊＊＊＊＊
随意契約によらざるをえない理由</t>
    <rPh sb="0" eb="2">
      <t>イコウ</t>
    </rPh>
    <rPh sb="2" eb="4">
      <t>コンナン</t>
    </rPh>
    <rPh sb="5" eb="7">
      <t>リユウ</t>
    </rPh>
    <rPh sb="30" eb="32">
      <t>ズイイ</t>
    </rPh>
    <rPh sb="32" eb="34">
      <t>ケイヤク</t>
    </rPh>
    <rPh sb="43" eb="45">
      <t>リユウ</t>
    </rPh>
    <phoneticPr fontId="20"/>
  </si>
  <si>
    <t>移行予定年限
＊＊＊＊＊＊＊＊＊＊＊
随意契約によらざるを得ない場合とした財務大臣通知上の根拠区分</t>
    <rPh sb="0" eb="2">
      <t>イコウ</t>
    </rPh>
    <rPh sb="2" eb="4">
      <t>ヨテイ</t>
    </rPh>
    <rPh sb="4" eb="6">
      <t>ネンゲン</t>
    </rPh>
    <phoneticPr fontId="20"/>
  </si>
  <si>
    <t>・随契理由</t>
    <rPh sb="1" eb="2">
      <t>ズイ</t>
    </rPh>
    <rPh sb="2" eb="3">
      <t>チギリ</t>
    </rPh>
    <rPh sb="3" eb="5">
      <t>リユウ</t>
    </rPh>
    <phoneticPr fontId="2"/>
  </si>
  <si>
    <t>・22以前未実施分：C</t>
    <rPh sb="3" eb="5">
      <t>イゼン</t>
    </rPh>
    <rPh sb="5" eb="8">
      <t>ミジッシ</t>
    </rPh>
    <rPh sb="8" eb="9">
      <t>ブン</t>
    </rPh>
    <phoneticPr fontId="2"/>
  </si>
  <si>
    <t>（ア・イ・カ）</t>
    <phoneticPr fontId="2"/>
  </si>
  <si>
    <t>・未整理分：D</t>
    <rPh sb="1" eb="4">
      <t>ミセイリ</t>
    </rPh>
    <rPh sb="4" eb="5">
      <t>ブン</t>
    </rPh>
    <phoneticPr fontId="2"/>
  </si>
  <si>
    <t>・整理区分　　　　　　　　　　　　　　　（A～D）</t>
    <rPh sb="1" eb="3">
      <t>セイリ</t>
    </rPh>
    <rPh sb="3" eb="5">
      <t>クブン</t>
    </rPh>
    <phoneticPr fontId="2"/>
  </si>
  <si>
    <t>・対象外×</t>
    <rPh sb="1" eb="4">
      <t>タイショウガイ</t>
    </rPh>
    <phoneticPr fontId="2"/>
  </si>
  <si>
    <t>D(移行済）は、過去に競争性導入済み案件</t>
  </si>
  <si>
    <t>・理由区分</t>
    <rPh sb="1" eb="3">
      <t>リユウ</t>
    </rPh>
    <rPh sb="3" eb="5">
      <t>クブン</t>
    </rPh>
    <phoneticPr fontId="2"/>
  </si>
  <si>
    <t>見直し計画策定以降の新規案件及び企画・公募</t>
    <rPh sb="0" eb="2">
      <t>ミナオ</t>
    </rPh>
    <rPh sb="3" eb="5">
      <t>ケイカク</t>
    </rPh>
    <rPh sb="5" eb="7">
      <t>サクテイ</t>
    </rPh>
    <rPh sb="7" eb="9">
      <t>イコウ</t>
    </rPh>
    <rPh sb="10" eb="12">
      <t>シンキ</t>
    </rPh>
    <rPh sb="12" eb="14">
      <t>アンケン</t>
    </rPh>
    <rPh sb="14" eb="15">
      <t>オヨ</t>
    </rPh>
    <rPh sb="16" eb="18">
      <t>キカク</t>
    </rPh>
    <rPh sb="19" eb="21">
      <t>コウボ</t>
    </rPh>
    <phoneticPr fontId="2"/>
  </si>
  <si>
    <t>①アD済</t>
    <rPh sb="3" eb="4">
      <t>ス</t>
    </rPh>
    <phoneticPr fontId="2"/>
  </si>
  <si>
    <t>D（移行済み）</t>
    <rPh sb="2" eb="4">
      <t>イコウ</t>
    </rPh>
    <rPh sb="4" eb="5">
      <t>ス</t>
    </rPh>
    <phoneticPr fontId="2"/>
  </si>
  <si>
    <t>×移行済み（20年度)</t>
    <rPh sb="1" eb="3">
      <t>イコウ</t>
    </rPh>
    <rPh sb="3" eb="4">
      <t>ス</t>
    </rPh>
    <phoneticPr fontId="2"/>
  </si>
  <si>
    <t>人</t>
  </si>
  <si>
    <t>①ア</t>
    <phoneticPr fontId="4"/>
  </si>
  <si>
    <t>①</t>
  </si>
  <si>
    <t>ア</t>
  </si>
  <si>
    <t>04-1</t>
    <phoneticPr fontId="4"/>
  </si>
  <si>
    <t>「在外公館派遣員派遣」業務委嘱</t>
  </si>
  <si>
    <t>支出負担行為担当官
外務省大臣官房会計課長　梨田和也
東京都千代田区霞が関２－２－１</t>
    <rPh sb="0" eb="2">
      <t>シシュツ</t>
    </rPh>
    <rPh sb="2" eb="4">
      <t>フタン</t>
    </rPh>
    <rPh sb="4" eb="6">
      <t>コウイ</t>
    </rPh>
    <rPh sb="6" eb="9">
      <t>タントウカン</t>
    </rPh>
    <rPh sb="10" eb="13">
      <t>ガイムショウ</t>
    </rPh>
    <rPh sb="13" eb="15">
      <t>ダイジン</t>
    </rPh>
    <rPh sb="15" eb="17">
      <t>カンボウ</t>
    </rPh>
    <rPh sb="17" eb="19">
      <t>カイケイ</t>
    </rPh>
    <rPh sb="19" eb="21">
      <t>カチョウ</t>
    </rPh>
    <rPh sb="22" eb="24">
      <t>ナシダ</t>
    </rPh>
    <rPh sb="24" eb="26">
      <t>カズヤ</t>
    </rPh>
    <rPh sb="27" eb="30">
      <t>トウキョウト</t>
    </rPh>
    <rPh sb="30" eb="34">
      <t>チヨダク</t>
    </rPh>
    <rPh sb="34" eb="35">
      <t>カスミ</t>
    </rPh>
    <rPh sb="36" eb="37">
      <t>セキ</t>
    </rPh>
    <phoneticPr fontId="4"/>
  </si>
  <si>
    <t>社団法人国際交流サービス協会</t>
  </si>
  <si>
    <t>東京都千代田区霞が関２－２－１</t>
  </si>
  <si>
    <t>当初の契約において，複数年度にわたる契約期間を条件としており，他に競争を許さないため（会計法第29条の3第4項）。</t>
  </si>
  <si>
    <t>－</t>
  </si>
  <si>
    <t>①ア0</t>
  </si>
  <si>
    <t>物品役務</t>
    <rPh sb="0" eb="2">
      <t>ブッピン</t>
    </rPh>
    <rPh sb="2" eb="4">
      <t>エキム</t>
    </rPh>
    <phoneticPr fontId="2"/>
  </si>
  <si>
    <t>0</t>
  </si>
  <si>
    <t>法98</t>
    <rPh sb="0" eb="1">
      <t>ホウ</t>
    </rPh>
    <phoneticPr fontId="2"/>
  </si>
  <si>
    <t>⑥アD稼働</t>
    <rPh sb="3" eb="5">
      <t>カドウ</t>
    </rPh>
    <phoneticPr fontId="4"/>
  </si>
  <si>
    <t>D</t>
    <phoneticPr fontId="2"/>
  </si>
  <si>
    <t>×</t>
    <phoneticPr fontId="2"/>
  </si>
  <si>
    <t>領旅</t>
  </si>
  <si>
    <t>⑥ア</t>
    <phoneticPr fontId="4"/>
  </si>
  <si>
    <t>⑥</t>
  </si>
  <si>
    <t>04-2</t>
    <phoneticPr fontId="4"/>
  </si>
  <si>
    <t>「ＩＣ旅券作成用印刷機消耗品」の購入</t>
    <rPh sb="16" eb="18">
      <t>コウニュウ</t>
    </rPh>
    <phoneticPr fontId="4"/>
  </si>
  <si>
    <t>株式会社東芝社会システム社</t>
  </si>
  <si>
    <t>東京都港区芝浦１－１－１</t>
  </si>
  <si>
    <t>本件消耗品の製作が可能な業者は，当該機器の販売業者である本契約の相手方の他になく，他に競争を許さないため。(会計法第29条の3第4項)</t>
    <rPh sb="0" eb="2">
      <t>ホンケン</t>
    </rPh>
    <rPh sb="2" eb="4">
      <t>ショウモウ</t>
    </rPh>
    <rPh sb="4" eb="5">
      <t>ヒン</t>
    </rPh>
    <rPh sb="6" eb="8">
      <t>セイサク</t>
    </rPh>
    <rPh sb="9" eb="11">
      <t>カノウ</t>
    </rPh>
    <rPh sb="12" eb="14">
      <t>ギョウシャ</t>
    </rPh>
    <rPh sb="16" eb="18">
      <t>トウガイ</t>
    </rPh>
    <rPh sb="18" eb="20">
      <t>キキ</t>
    </rPh>
    <rPh sb="21" eb="23">
      <t>ハンバイ</t>
    </rPh>
    <rPh sb="23" eb="25">
      <t>ギョウシャ</t>
    </rPh>
    <rPh sb="28" eb="31">
      <t>ホンケイヤク</t>
    </rPh>
    <rPh sb="32" eb="34">
      <t>アイテ</t>
    </rPh>
    <rPh sb="34" eb="35">
      <t>カタ</t>
    </rPh>
    <rPh sb="36" eb="37">
      <t>ホカ</t>
    </rPh>
    <rPh sb="41" eb="42">
      <t>ホカ</t>
    </rPh>
    <rPh sb="43" eb="45">
      <t>キョウソウ</t>
    </rPh>
    <rPh sb="46" eb="47">
      <t>ユル</t>
    </rPh>
    <rPh sb="54" eb="57">
      <t>カイケイホウ</t>
    </rPh>
    <rPh sb="57" eb="58">
      <t>ダイ</t>
    </rPh>
    <rPh sb="60" eb="61">
      <t>ジョウ</t>
    </rPh>
    <rPh sb="63" eb="64">
      <t>ダイ</t>
    </rPh>
    <rPh sb="65" eb="66">
      <t>コウ</t>
    </rPh>
    <phoneticPr fontId="2"/>
  </si>
  <si>
    <t>単価契約</t>
    <rPh sb="0" eb="2">
      <t>タンカ</t>
    </rPh>
    <rPh sb="2" eb="4">
      <t>ケイヤク</t>
    </rPh>
    <phoneticPr fontId="2"/>
  </si>
  <si>
    <t>⑥ア0</t>
  </si>
  <si>
    <t>新規</t>
    <rPh sb="0" eb="2">
      <t>シンキ</t>
    </rPh>
    <phoneticPr fontId="2"/>
  </si>
  <si>
    <t>ｏｋ</t>
    <phoneticPr fontId="2"/>
  </si>
  <si>
    <t>⑥アD済</t>
    <rPh sb="3" eb="4">
      <t>ス</t>
    </rPh>
    <phoneticPr fontId="4"/>
  </si>
  <si>
    <t>22M032</t>
  </si>
  <si>
    <t>04-3</t>
    <phoneticPr fontId="4"/>
  </si>
  <si>
    <t>「旅券用ホストコンピュータ」賃貸借保守</t>
  </si>
  <si>
    <t>①東京センチュリーリース株式会社
②富士通株式会社</t>
    <rPh sb="12" eb="16">
      <t>カブシキガイシャ</t>
    </rPh>
    <phoneticPr fontId="24"/>
  </si>
  <si>
    <t>①東京都港区浜松町２－４－１
②東京都港区東新橋１－５－２</t>
  </si>
  <si>
    <t>当該機器等は今後も一定期間は業務上の使用に耐えられるところ，引き続き現行機器等を賃貸借することが同等物件の新規調達に比べ割安であり，業務効率・運用面から，他に競争を許さないため（会計法第29条の3第4項）。</t>
  </si>
  <si>
    <t>？</t>
    <phoneticPr fontId="2"/>
  </si>
  <si>
    <t>民258</t>
    <rPh sb="0" eb="1">
      <t>ミン</t>
    </rPh>
    <phoneticPr fontId="2"/>
  </si>
  <si>
    <t>予算が承認されれば競争に移行の予定として移行計画分としてマーク</t>
    <rPh sb="0" eb="2">
      <t>ヨサン</t>
    </rPh>
    <rPh sb="3" eb="5">
      <t>ショウニン</t>
    </rPh>
    <rPh sb="9" eb="11">
      <t>キョウソウ</t>
    </rPh>
    <rPh sb="12" eb="14">
      <t>イコウ</t>
    </rPh>
    <rPh sb="15" eb="17">
      <t>ヨテイ</t>
    </rPh>
    <rPh sb="20" eb="22">
      <t>イコウ</t>
    </rPh>
    <rPh sb="22" eb="24">
      <t>ケイカク</t>
    </rPh>
    <rPh sb="24" eb="25">
      <t>ブン</t>
    </rPh>
    <phoneticPr fontId="2"/>
  </si>
  <si>
    <t>×
移行済み
(19年度）</t>
    <rPh sb="2" eb="4">
      <t>イコウ</t>
    </rPh>
    <rPh sb="4" eb="5">
      <t>ズ</t>
    </rPh>
    <rPh sb="10" eb="12">
      <t>ネンド</t>
    </rPh>
    <phoneticPr fontId="34"/>
  </si>
  <si>
    <t>22J906</t>
  </si>
  <si>
    <t>軍軍</t>
  </si>
  <si>
    <t>①ア（公募）</t>
    <phoneticPr fontId="4"/>
  </si>
  <si>
    <t>ア(公募）</t>
    <rPh sb="2" eb="4">
      <t>コウボ</t>
    </rPh>
    <phoneticPr fontId="4"/>
  </si>
  <si>
    <t>04-4</t>
    <phoneticPr fontId="4"/>
  </si>
  <si>
    <t>「包括的核実験禁止条約（ＣＴＢＴ）国内運用体制整備事業」業務委嘱</t>
    <rPh sb="28" eb="30">
      <t>ギョウム</t>
    </rPh>
    <rPh sb="30" eb="32">
      <t>イショク</t>
    </rPh>
    <phoneticPr fontId="4"/>
  </si>
  <si>
    <t>財団法人日本国際問題研究所</t>
  </si>
  <si>
    <t>東京都千代田区霞が関３－２－５</t>
  </si>
  <si>
    <t>公募を実施した結果，応募が一社のみであり，また，審査の結果，業務の適正な遂行が可能と認められ，他に競争を許さないため。(会計法第29条の3第4項)</t>
  </si>
  <si>
    <t>一者応札</t>
    <rPh sb="0" eb="2">
      <t>イッシャ</t>
    </rPh>
    <rPh sb="2" eb="4">
      <t>オウサツ</t>
    </rPh>
    <phoneticPr fontId="2"/>
  </si>
  <si>
    <t>①ア（公募）1</t>
  </si>
  <si>
    <t>1</t>
  </si>
  <si>
    <t>法81</t>
    <rPh sb="0" eb="1">
      <t>ホウ</t>
    </rPh>
    <phoneticPr fontId="2"/>
  </si>
  <si>
    <t>①アB23</t>
    <phoneticPr fontId="2"/>
  </si>
  <si>
    <t>B</t>
    <phoneticPr fontId="2"/>
  </si>
  <si>
    <t>○（23年度以降）</t>
    <rPh sb="4" eb="6">
      <t>ネンド</t>
    </rPh>
    <rPh sb="6" eb="8">
      <t>イコウ</t>
    </rPh>
    <phoneticPr fontId="2"/>
  </si>
  <si>
    <t>22J902</t>
  </si>
  <si>
    <t>総人</t>
  </si>
  <si>
    <t>04-5</t>
    <phoneticPr fontId="4"/>
  </si>
  <si>
    <t>「難民等救援」業務委嘱</t>
    <rPh sb="9" eb="11">
      <t>イショク</t>
    </rPh>
    <phoneticPr fontId="4"/>
  </si>
  <si>
    <t>財団法人アジア福祉教育財団</t>
  </si>
  <si>
    <t>東京都港区南麻布５－１－２７</t>
  </si>
  <si>
    <t>本契約の相手方は，難民問題解決のため，１万人を超える難民等に対して行ってきた各種支援を通じて培ったノウハウ及び実績を有し，日本における難民の受入実務を担っている唯一の機関であり，他に競争を許さないため。（会計法第29条の3第4項）</t>
  </si>
  <si>
    <t>法14</t>
    <rPh sb="0" eb="1">
      <t>ホウ</t>
    </rPh>
    <phoneticPr fontId="2"/>
  </si>
  <si>
    <t>⑤アD複数</t>
    <rPh sb="3" eb="5">
      <t>フクスウ</t>
    </rPh>
    <phoneticPr fontId="4"/>
  </si>
  <si>
    <t>22M043</t>
  </si>
  <si>
    <t>⑤ア</t>
    <phoneticPr fontId="4"/>
  </si>
  <si>
    <t>⑤</t>
  </si>
  <si>
    <t>04-6</t>
  </si>
  <si>
    <t>「ＩＣ旅券作成機」賃貸借契約</t>
  </si>
  <si>
    <t>株式会社東芝</t>
  </si>
  <si>
    <t>当初の契約において，複数年度にわたる契約期間を条件としており，他に競争を許さないため。（会計法第29条の3第4項）</t>
  </si>
  <si>
    <t>⑤ア0</t>
  </si>
  <si>
    <t>⑥アD複数</t>
    <rPh sb="3" eb="5">
      <t>フクスウ</t>
    </rPh>
    <phoneticPr fontId="4"/>
  </si>
  <si>
    <t>22W067</t>
  </si>
  <si>
    <t>信</t>
  </si>
  <si>
    <t>04-7</t>
  </si>
  <si>
    <t>「ソフトウェア」賃貸借保守</t>
  </si>
  <si>
    <t>①東京センチュリーリース株式会社
②新日鉄ソリューションズ株式会社</t>
  </si>
  <si>
    <t>①東京都港区浜松町２－４－１
②東京都中央区新川２－２０－１５</t>
  </si>
  <si>
    <t>20年度末に一般競争入札で選定。H21.3.10～平H26.3.9まで60ヶ月を想定とした入札。単年度契約。</t>
    <rPh sb="2" eb="4">
      <t>ネンド</t>
    </rPh>
    <rPh sb="4" eb="5">
      <t>マツ</t>
    </rPh>
    <rPh sb="6" eb="8">
      <t>イッパン</t>
    </rPh>
    <rPh sb="8" eb="10">
      <t>キョウソウ</t>
    </rPh>
    <rPh sb="10" eb="12">
      <t>ニュウサツ</t>
    </rPh>
    <rPh sb="13" eb="15">
      <t>センテイ</t>
    </rPh>
    <phoneticPr fontId="34"/>
  </si>
  <si>
    <t>22W064</t>
  </si>
  <si>
    <t>04-8</t>
  </si>
  <si>
    <t>「サーバ機器等」賃貸借保守</t>
  </si>
  <si>
    <t>１社違うが？</t>
    <rPh sb="1" eb="2">
      <t>シャ</t>
    </rPh>
    <rPh sb="2" eb="3">
      <t>チガ</t>
    </rPh>
    <phoneticPr fontId="2"/>
  </si>
  <si>
    <t>民187</t>
    <rPh sb="0" eb="1">
      <t>ミン</t>
    </rPh>
    <phoneticPr fontId="2"/>
  </si>
  <si>
    <t>⑤アD継続</t>
    <rPh sb="3" eb="5">
      <t>ケイゾク</t>
    </rPh>
    <phoneticPr fontId="4"/>
  </si>
  <si>
    <t>警対</t>
  </si>
  <si>
    <t>04-9</t>
  </si>
  <si>
    <t>「在外公館警備指導（在ムンバイ総他１４公館）」業務委嘱</t>
    <rPh sb="1" eb="3">
      <t>ザイガイ</t>
    </rPh>
    <rPh sb="3" eb="5">
      <t>コウカン</t>
    </rPh>
    <rPh sb="23" eb="25">
      <t>ギョウム</t>
    </rPh>
    <rPh sb="25" eb="27">
      <t>イショク</t>
    </rPh>
    <phoneticPr fontId="4"/>
  </si>
  <si>
    <t>綜合警備保障株式会社</t>
  </si>
  <si>
    <t>東京都港区元赤坂１－６－６</t>
  </si>
  <si>
    <t>在外公館の警備指導業務は，警備要領に関する特殊な知識・技能を習熟した上で，効果的に在外公館警備の任に当たらせる必要があることから，配置期間を２年と設定している。本契約はその継続措置であり，他に競争を許さないため。(会計法第29条の3第4項)</t>
  </si>
  <si>
    <t>⑤アD稼働</t>
    <rPh sb="3" eb="5">
      <t>カドウ</t>
    </rPh>
    <phoneticPr fontId="4"/>
  </si>
  <si>
    <t>22M044</t>
  </si>
  <si>
    <t>04-10</t>
  </si>
  <si>
    <t>「ＩＣ旅券作成機保守」業務委嘱</t>
    <rPh sb="3" eb="5">
      <t>リョケン</t>
    </rPh>
    <rPh sb="5" eb="7">
      <t>サクセイ</t>
    </rPh>
    <rPh sb="7" eb="8">
      <t>キ</t>
    </rPh>
    <rPh sb="8" eb="10">
      <t>ホシュ</t>
    </rPh>
    <rPh sb="11" eb="13">
      <t>ギョウム</t>
    </rPh>
    <rPh sb="13" eb="15">
      <t>イショク</t>
    </rPh>
    <phoneticPr fontId="4"/>
  </si>
  <si>
    <t>現在稼働中のシステムの保守業務を同システムの開発業者である契約の相手方に委嘱するものであり，通信に障害を及ぼすことなく安定運用を確実に遂行しうる者はなく，他に競争を許さないため（会計法第29条の3第4項）。</t>
  </si>
  <si>
    <t>⑥アDその他</t>
    <rPh sb="5" eb="6">
      <t>タ</t>
    </rPh>
    <phoneticPr fontId="4"/>
  </si>
  <si>
    <t>22W077</t>
  </si>
  <si>
    <t>04-11</t>
  </si>
  <si>
    <t>「情報ネットワーク基盤及び基本業務システムの運用保守」業務委嘱</t>
    <rPh sb="27" eb="29">
      <t>ギョウム</t>
    </rPh>
    <rPh sb="29" eb="31">
      <t>イショク</t>
    </rPh>
    <phoneticPr fontId="4"/>
  </si>
  <si>
    <t>富士通株式会社</t>
  </si>
  <si>
    <t>東京都港区東新橋１－５－２　</t>
  </si>
  <si>
    <t>一般競争入札によりシステムの開発業者を選定したものであるが，本運用支援業務についても，その競争条件としており，他に競争を許さないため（会計法第29条の3第4項）。</t>
  </si>
  <si>
    <t>　</t>
    <phoneticPr fontId="4"/>
  </si>
  <si>
    <t>　</t>
    <phoneticPr fontId="2"/>
  </si>
  <si>
    <t>×競争あり(18年度～）</t>
    <rPh sb="1" eb="3">
      <t>キョウソウ</t>
    </rPh>
    <rPh sb="8" eb="10">
      <t>ネンド</t>
    </rPh>
    <phoneticPr fontId="2"/>
  </si>
  <si>
    <t>22X002</t>
  </si>
  <si>
    <t>国協評報</t>
  </si>
  <si>
    <t>⑥ア（企画）</t>
    <phoneticPr fontId="4"/>
  </si>
  <si>
    <t>ア(企画）</t>
    <rPh sb="2" eb="4">
      <t>キカク</t>
    </rPh>
    <phoneticPr fontId="4"/>
  </si>
  <si>
    <t>04-12</t>
  </si>
  <si>
    <t>「ＯＤＡ広報テレビ番組制作・放映」業務委嘱</t>
    <rPh sb="17" eb="19">
      <t>ギョウム</t>
    </rPh>
    <rPh sb="19" eb="21">
      <t>イショク</t>
    </rPh>
    <phoneticPr fontId="4"/>
  </si>
  <si>
    <t>株式会社電通</t>
  </si>
  <si>
    <t>東京都港区東新橋１－８－１</t>
  </si>
  <si>
    <t>企画競争の結果，同社が最も高い評価を得て確実な業務の履行が可能であると認められ，他に競争を許さないため。(会計法第29条の3第4項)</t>
  </si>
  <si>
    <t>⑥ア（企画）3</t>
  </si>
  <si>
    <t>3</t>
  </si>
  <si>
    <t>民60</t>
    <rPh sb="0" eb="1">
      <t>ミン</t>
    </rPh>
    <phoneticPr fontId="2"/>
  </si>
  <si>
    <t>22W066</t>
  </si>
  <si>
    <t>04-13</t>
  </si>
  <si>
    <t>①東京センチュリーリース株式会社
②富士通株式会社</t>
  </si>
  <si>
    <t>①東京都港区浜松町２―４―１
②東京都港区東新橋１－５－２</t>
  </si>
  <si>
    <t>上記に似た案件あり</t>
    <rPh sb="0" eb="2">
      <t>ジョウキ</t>
    </rPh>
    <rPh sb="3" eb="4">
      <t>ニ</t>
    </rPh>
    <rPh sb="5" eb="7">
      <t>アンケン</t>
    </rPh>
    <phoneticPr fontId="2"/>
  </si>
  <si>
    <t>⑤アD継続</t>
    <rPh sb="3" eb="5">
      <t>ケイゾク</t>
    </rPh>
    <phoneticPr fontId="34"/>
  </si>
  <si>
    <t>D</t>
    <phoneticPr fontId="34"/>
  </si>
  <si>
    <t>×</t>
    <phoneticPr fontId="34"/>
  </si>
  <si>
    <t>04-14</t>
  </si>
  <si>
    <t>「在外公館警備指導（在ジャマイカ大他１９公館）」業務委嘱</t>
    <rPh sb="1" eb="3">
      <t>ザイガイ</t>
    </rPh>
    <rPh sb="3" eb="5">
      <t>コウカン</t>
    </rPh>
    <rPh sb="24" eb="26">
      <t>ギョウム</t>
    </rPh>
    <rPh sb="26" eb="28">
      <t>イショク</t>
    </rPh>
    <phoneticPr fontId="4"/>
  </si>
  <si>
    <t>21W069</t>
  </si>
  <si>
    <t>04-15</t>
  </si>
  <si>
    <t>「パーソナルコンピュータ等」賃貸借保守</t>
  </si>
  <si>
    <t>22W063</t>
  </si>
  <si>
    <t>04-16</t>
  </si>
  <si>
    <t>D</t>
  </si>
  <si>
    <t>×</t>
  </si>
  <si>
    <t>22G218</t>
  </si>
  <si>
    <t>広文総</t>
  </si>
  <si>
    <t>04-17</t>
  </si>
  <si>
    <t>「日本文化発信プログラム・ボランティア派遣」業務委嘱</t>
  </si>
  <si>
    <t>社団法人青年海外協力協会</t>
  </si>
  <si>
    <t>東京都渋谷区広尾４－２－２４</t>
  </si>
  <si>
    <t>20年度企画競争で選定</t>
    <rPh sb="2" eb="4">
      <t>ネンド</t>
    </rPh>
    <rPh sb="4" eb="6">
      <t>キカク</t>
    </rPh>
    <rPh sb="6" eb="8">
      <t>キョウソウ</t>
    </rPh>
    <rPh sb="9" eb="11">
      <t>センテイ</t>
    </rPh>
    <phoneticPr fontId="34"/>
  </si>
  <si>
    <t>×競争あり</t>
    <rPh sb="1" eb="3">
      <t>キョウソウ</t>
    </rPh>
    <phoneticPr fontId="2"/>
  </si>
  <si>
    <t>22Z033</t>
  </si>
  <si>
    <t>⑥ア（公募）</t>
    <phoneticPr fontId="4"/>
  </si>
  <si>
    <t>04-18</t>
  </si>
  <si>
    <t>「官房業務システム保守」業務委嘱</t>
    <rPh sb="14" eb="16">
      <t>イショク</t>
    </rPh>
    <phoneticPr fontId="4"/>
  </si>
  <si>
    <t>株式会社日立製作所</t>
  </si>
  <si>
    <t>東京都江東区新砂１－６－２７</t>
  </si>
  <si>
    <t>⑥ア（公募）1</t>
  </si>
  <si>
    <t>22M036
22M037</t>
  </si>
  <si>
    <t>04-19</t>
  </si>
  <si>
    <t>「旅券事務所用サーバ等」賃貸借保守</t>
    <rPh sb="10" eb="11">
      <t>トウ</t>
    </rPh>
    <phoneticPr fontId="4"/>
  </si>
  <si>
    <t>22W010</t>
  </si>
  <si>
    <t>領対</t>
  </si>
  <si>
    <t>①ア（企画）</t>
    <phoneticPr fontId="4"/>
  </si>
  <si>
    <t>04-20</t>
  </si>
  <si>
    <t>「国際ニュースモニタリングサービス」業務委嘱</t>
    <rPh sb="18" eb="20">
      <t>ギョウム</t>
    </rPh>
    <rPh sb="20" eb="22">
      <t>イショク</t>
    </rPh>
    <phoneticPr fontId="4"/>
  </si>
  <si>
    <t>財団法人ラヂオプレス</t>
  </si>
  <si>
    <t>東京都新宿区若松町３３－８</t>
  </si>
  <si>
    <t>企画競争の結果，同社が最も高い評価を得て確実な業務の履行が可能であると認められ，他に競争を許さないため（会計法第29条の3第4項）。</t>
  </si>
  <si>
    <t>①ア（企画）1</t>
  </si>
  <si>
    <t>⑥アD継続</t>
    <rPh sb="3" eb="5">
      <t>ケイゾク</t>
    </rPh>
    <phoneticPr fontId="4"/>
  </si>
  <si>
    <t>22P162
22P163
22S103
22P164
22P165
22S104
22P166
22S105
22P167
22S106
22P168</t>
  </si>
  <si>
    <t>会</t>
  </si>
  <si>
    <t>04-21</t>
  </si>
  <si>
    <t>「複写機・複合機保守」業務委嘱</t>
    <rPh sb="8" eb="10">
      <t>ホシュ</t>
    </rPh>
    <rPh sb="11" eb="13">
      <t>ギョウム</t>
    </rPh>
    <rPh sb="13" eb="15">
      <t>イショク</t>
    </rPh>
    <phoneticPr fontId="4"/>
  </si>
  <si>
    <t>①株式会社リコー
②富士ゼロックス株式会社
③キャノンマーケティングジャパン株式会社
④コニカミノルタビジネスソリューションズ株式会社
⑤京セラミタジャパン株式会社</t>
  </si>
  <si>
    <t>①東京都大田区中馬込１－３－６
②東京都港区六本木３－１－１
③東京都港区港南２－１６－６
④東京都文京区本郷２－４－４
⑤東京都中央区日本橋本町１－９－１５</t>
    <rPh sb="50" eb="53">
      <t>ブンキョウク</t>
    </rPh>
    <rPh sb="53" eb="55">
      <t>ホンゴウ</t>
    </rPh>
    <phoneticPr fontId="24"/>
  </si>
  <si>
    <t>本件保守業務については製造業者が専属的に行っており，右業者以外による保守の場合動作保証が得られないことから，他に競争を許さないため（会計法第29条の3第4項）。</t>
    <rPh sb="0" eb="2">
      <t>ホンケン</t>
    </rPh>
    <rPh sb="2" eb="4">
      <t>ホシュ</t>
    </rPh>
    <rPh sb="4" eb="6">
      <t>ギョウム</t>
    </rPh>
    <rPh sb="11" eb="13">
      <t>セイゾウ</t>
    </rPh>
    <rPh sb="13" eb="15">
      <t>ギョウシャ</t>
    </rPh>
    <rPh sb="16" eb="19">
      <t>センゾクテキ</t>
    </rPh>
    <rPh sb="20" eb="21">
      <t>オコナ</t>
    </rPh>
    <rPh sb="26" eb="27">
      <t>ミギ</t>
    </rPh>
    <rPh sb="27" eb="29">
      <t>ギョウシャ</t>
    </rPh>
    <rPh sb="29" eb="31">
      <t>イガイ</t>
    </rPh>
    <rPh sb="34" eb="36">
      <t>ホシュ</t>
    </rPh>
    <rPh sb="37" eb="39">
      <t>バアイ</t>
    </rPh>
    <rPh sb="39" eb="41">
      <t>ドウサ</t>
    </rPh>
    <rPh sb="41" eb="43">
      <t>ホショウ</t>
    </rPh>
    <rPh sb="44" eb="45">
      <t>エ</t>
    </rPh>
    <phoneticPr fontId="2"/>
  </si>
  <si>
    <t>平成20年度一般競争で賃貸借契約（平成２５年２月までを想定した単年度）</t>
    <rPh sb="0" eb="2">
      <t>ヘイセイ</t>
    </rPh>
    <rPh sb="4" eb="6">
      <t>ネンド</t>
    </rPh>
    <rPh sb="6" eb="8">
      <t>イッパン</t>
    </rPh>
    <rPh sb="8" eb="10">
      <t>キョウソウ</t>
    </rPh>
    <rPh sb="14" eb="16">
      <t>ケイヤク</t>
    </rPh>
    <phoneticPr fontId="34"/>
  </si>
  <si>
    <t>22M095</t>
  </si>
  <si>
    <t>領外</t>
  </si>
  <si>
    <t>04-22</t>
  </si>
  <si>
    <t>「査証情報ネットワークシステム運用・保守」業務委嘱</t>
    <rPh sb="21" eb="23">
      <t>ギョウム</t>
    </rPh>
    <rPh sb="23" eb="25">
      <t>イショク</t>
    </rPh>
    <phoneticPr fontId="4"/>
  </si>
  <si>
    <t>沖電気工業株式会社</t>
  </si>
  <si>
    <t>東京都港区芝浦４－１０－１６</t>
    <rPh sb="3" eb="5">
      <t>ミナトク</t>
    </rPh>
    <rPh sb="5" eb="7">
      <t>シバウラ</t>
    </rPh>
    <phoneticPr fontId="4"/>
  </si>
  <si>
    <t>現在稼働中のシステムの保守業務を同システムの開発業者である契約の相手方に委嘱するものであり，通信に障害を及ぼすことなく安定運用を確実に遂行しうる者は他になく，他に競争を許さないため（会計法第29条の3第4項）。</t>
  </si>
  <si>
    <t>22Z112</t>
  </si>
  <si>
    <t>04-23</t>
  </si>
  <si>
    <t>「在外ＬＡＮシステム保守」業務委嘱</t>
    <rPh sb="13" eb="15">
      <t>ギョウム</t>
    </rPh>
    <rPh sb="15" eb="17">
      <t>イショク</t>
    </rPh>
    <phoneticPr fontId="4"/>
  </si>
  <si>
    <t>新日鉄ソリューションズ株式会社</t>
  </si>
  <si>
    <t>東京都中央区新川２－２０－１５</t>
  </si>
  <si>
    <t>×(不落）</t>
    <rPh sb="2" eb="3">
      <t>フ</t>
    </rPh>
    <rPh sb="3" eb="4">
      <t>ラク</t>
    </rPh>
    <phoneticPr fontId="2"/>
  </si>
  <si>
    <t>22P172　22P173</t>
  </si>
  <si>
    <t>⑥エ</t>
    <phoneticPr fontId="4"/>
  </si>
  <si>
    <t>エ</t>
  </si>
  <si>
    <t>04-24</t>
  </si>
  <si>
    <t>「自動車運行管理」業務委嘱</t>
    <rPh sb="9" eb="11">
      <t>ギョウム</t>
    </rPh>
    <rPh sb="11" eb="13">
      <t>イショク</t>
    </rPh>
    <phoneticPr fontId="4"/>
  </si>
  <si>
    <t>大新東株式会社</t>
  </si>
  <si>
    <t>東京都調布市調布ヶ丘３－６－３</t>
  </si>
  <si>
    <t>再度の入札をもってしても落札者がなかったため，最も廉価であった同社に対し予定価格範囲内での交渉をしており，他に競争を許さないため（予算決算及び会計令第99条の2）。</t>
    <rPh sb="65" eb="67">
      <t>ヨサン</t>
    </rPh>
    <rPh sb="67" eb="69">
      <t>ケッサン</t>
    </rPh>
    <rPh sb="69" eb="70">
      <t>オヨ</t>
    </rPh>
    <rPh sb="71" eb="74">
      <t>カイケイレイ</t>
    </rPh>
    <phoneticPr fontId="2"/>
  </si>
  <si>
    <t>不落随契</t>
    <rPh sb="0" eb="2">
      <t>フラク</t>
    </rPh>
    <rPh sb="2" eb="3">
      <t>ズイ</t>
    </rPh>
    <rPh sb="3" eb="4">
      <t>ケイ</t>
    </rPh>
    <phoneticPr fontId="2"/>
  </si>
  <si>
    <t>⑥エ0</t>
  </si>
  <si>
    <t>22W076</t>
  </si>
  <si>
    <t>04-25</t>
  </si>
  <si>
    <t>「省内ＬＡＮ等関連機器保守」業務委嘱</t>
    <rPh sb="14" eb="16">
      <t>ギョウム</t>
    </rPh>
    <rPh sb="16" eb="18">
      <t>イショク</t>
    </rPh>
    <phoneticPr fontId="4"/>
  </si>
  <si>
    <t>現在稼働中のシステムの保守業務を同システムの開発業者である契約の相手方に委嘱するものであり，通信に障害を及ぼすことなく安定運用を確実に遂行しうる者は他になく，他に競争を許さないため。(会計法第29条の3第4項)</t>
    <rPh sb="46" eb="48">
      <t>ツウシン</t>
    </rPh>
    <phoneticPr fontId="2"/>
  </si>
  <si>
    <t>⑥アD複数</t>
    <rPh sb="3" eb="5">
      <t>フクスウ</t>
    </rPh>
    <phoneticPr fontId="34"/>
  </si>
  <si>
    <t>22M034</t>
  </si>
  <si>
    <t>04-26</t>
  </si>
  <si>
    <t>「旅券事務所用サーバ等」賃貸借保守</t>
  </si>
  <si>
    <t>22M041</t>
  </si>
  <si>
    <t>04-27</t>
  </si>
  <si>
    <t>「ＩＣ旅券作成機」賃貸借契約</t>
    <rPh sb="12" eb="14">
      <t>ケイヤク</t>
    </rPh>
    <phoneticPr fontId="4"/>
  </si>
  <si>
    <t>東芝ファイナンス株式会社</t>
  </si>
  <si>
    <t>東京都中央区銀座５－２－１</t>
  </si>
  <si>
    <t>H17/10/28入札公告にて契約締結日から６０ヶ月後まで随意契約する旨公表済み</t>
  </si>
  <si>
    <t>22Z024</t>
  </si>
  <si>
    <t>04-28</t>
  </si>
  <si>
    <t>「在外公館における情報ネットワーク基盤及び基本業務システムの構築」業務委嘱</t>
    <rPh sb="33" eb="35">
      <t>ギョウム</t>
    </rPh>
    <rPh sb="35" eb="37">
      <t>イショク</t>
    </rPh>
    <phoneticPr fontId="4"/>
  </si>
  <si>
    <t>東京都港区東新橋１－５－２</t>
  </si>
  <si>
    <t>一般競争入札によりシステムの開発業者を選定したものであるが，本構築支援業務についても，その競争条件としており，他に競争を許さないため（会計法第29条の3第4項）。</t>
  </si>
  <si>
    <t>⑥アD一定</t>
    <rPh sb="3" eb="5">
      <t>イッテイ</t>
    </rPh>
    <phoneticPr fontId="4"/>
  </si>
  <si>
    <t>22Z093</t>
  </si>
  <si>
    <t>04-29</t>
  </si>
  <si>
    <t>「パーソナルコンピュータ（ノートブック型）等一式」賃貸借保守</t>
  </si>
  <si>
    <t>当該機器等は今後も一定期間は業務上の使用に耐えられるところ，引き続き現行機器を賃貸借することが同等物件の新規調達に比べ割安であり，業務効率・費用面から，他に競争を許さないため（会計法第29条の3第4項）。</t>
  </si>
  <si>
    <t>22M047</t>
  </si>
  <si>
    <t>04-30</t>
  </si>
  <si>
    <t>「ＩＣ旅券用交付窓口端末機」賃貸借契約</t>
    <rPh sb="17" eb="19">
      <t>ケイヤク</t>
    </rPh>
    <phoneticPr fontId="4"/>
  </si>
  <si>
    <t>日立キャピタル株式会社</t>
    <rPh sb="0" eb="2">
      <t>ヒタチ</t>
    </rPh>
    <rPh sb="7" eb="11">
      <t>カブシキガイシャ</t>
    </rPh>
    <phoneticPr fontId="4"/>
  </si>
  <si>
    <t>東京都港区西新橋２－１５－１２</t>
    <rPh sb="5" eb="6">
      <t>ニシ</t>
    </rPh>
    <rPh sb="6" eb="8">
      <t>シンバシ</t>
    </rPh>
    <phoneticPr fontId="4"/>
  </si>
  <si>
    <t>在</t>
  </si>
  <si>
    <t>04-31</t>
  </si>
  <si>
    <t>「公邸料理人関係業務」委嘱契約</t>
  </si>
  <si>
    <t>法99</t>
    <rPh sb="0" eb="1">
      <t>ホウ</t>
    </rPh>
    <phoneticPr fontId="2"/>
  </si>
  <si>
    <t>④アAﾛ</t>
  </si>
  <si>
    <t>A</t>
    <phoneticPr fontId="2"/>
  </si>
  <si>
    <t>◎</t>
  </si>
  <si>
    <t>22Z135　　22P551</t>
  </si>
  <si>
    <t>総</t>
  </si>
  <si>
    <t>④ア</t>
    <phoneticPr fontId="4"/>
  </si>
  <si>
    <t>④</t>
  </si>
  <si>
    <t>04-32</t>
  </si>
  <si>
    <t>「成田分室他」賃貸借契約</t>
  </si>
  <si>
    <t>成田国際空港株式会社</t>
  </si>
  <si>
    <t>千葉県成田市古込字古込１－１</t>
  </si>
  <si>
    <t>本件サービスの提供が可能な業者は，本契約の相手方の他になく，他に競争を許さないため。(会計法第29条の3第4項)</t>
    <rPh sb="0" eb="2">
      <t>ホンケン</t>
    </rPh>
    <rPh sb="7" eb="9">
      <t>テイキョウ</t>
    </rPh>
    <rPh sb="10" eb="12">
      <t>カノウ</t>
    </rPh>
    <rPh sb="13" eb="15">
      <t>ギョウシャ</t>
    </rPh>
    <rPh sb="18" eb="20">
      <t>ケイヤク</t>
    </rPh>
    <rPh sb="21" eb="24">
      <t>アイテカタ</t>
    </rPh>
    <rPh sb="25" eb="26">
      <t>ホカ</t>
    </rPh>
    <rPh sb="30" eb="31">
      <t>ホカ</t>
    </rPh>
    <rPh sb="32" eb="34">
      <t>キョウソウ</t>
    </rPh>
    <rPh sb="35" eb="36">
      <t>ユル</t>
    </rPh>
    <rPh sb="42" eb="56">
      <t>ジョウコウ</t>
    </rPh>
    <phoneticPr fontId="2"/>
  </si>
  <si>
    <t>④ア0</t>
  </si>
  <si>
    <t>法8</t>
    <rPh sb="0" eb="1">
      <t>ホウ</t>
    </rPh>
    <phoneticPr fontId="2"/>
  </si>
  <si>
    <t>22M094</t>
  </si>
  <si>
    <t>04-33</t>
  </si>
  <si>
    <t>「査証事務支援システム及び統合作成機の運用保守」業務委嘱</t>
    <rPh sb="26" eb="28">
      <t>イショク</t>
    </rPh>
    <phoneticPr fontId="4"/>
  </si>
  <si>
    <t>現在稼働中のシステムの保守業務を同システムの開発業者である契約の相手方に委嘱するものであり，通信に障害を及ぼすことなく安定運用を確実に遂行しうる者はなく他に競争を許さないため（会計法第29条の3第4項）。</t>
  </si>
  <si>
    <t>④アAﾆ(ﾍ)</t>
  </si>
  <si>
    <t>◎
長期継続契約</t>
    <rPh sb="2" eb="4">
      <t>チョウキ</t>
    </rPh>
    <rPh sb="4" eb="6">
      <t>ケイゾク</t>
    </rPh>
    <rPh sb="6" eb="8">
      <t>ケイヤク</t>
    </rPh>
    <phoneticPr fontId="34"/>
  </si>
  <si>
    <t>22P082</t>
  </si>
  <si>
    <t>04-34</t>
  </si>
  <si>
    <t>「日本放送協会テレビ放送」受信契約</t>
  </si>
  <si>
    <t>日本放送協会</t>
  </si>
  <si>
    <t>東京都渋谷区神南２－２－１</t>
  </si>
  <si>
    <t>法13</t>
    <rPh sb="0" eb="1">
      <t>ホウ</t>
    </rPh>
    <phoneticPr fontId="2"/>
  </si>
  <si>
    <t>⑥アD済</t>
    <rPh sb="3" eb="4">
      <t>ス</t>
    </rPh>
    <phoneticPr fontId="34"/>
  </si>
  <si>
    <t>22G128</t>
  </si>
  <si>
    <t>04-35</t>
  </si>
  <si>
    <t>「外務省ＣＩＯ補佐官業務（Ａチーム）」委嘱契約</t>
    <rPh sb="19" eb="21">
      <t>イショク</t>
    </rPh>
    <rPh sb="21" eb="23">
      <t>ケイヤク</t>
    </rPh>
    <phoneticPr fontId="4"/>
  </si>
  <si>
    <t>日本ヒューレット・パッカード株式会社</t>
  </si>
  <si>
    <t>東京都杉並区高井戸東３－２９－２１</t>
  </si>
  <si>
    <t>内容の整合性・継続性等を確保するためには，前回，本業務を請け負った本契約の相手方に委嘱する他なく，他に競争を許さないため。（会計法第29条の3第4項）</t>
  </si>
  <si>
    <t>Bチーム
H18年度企画競争実施</t>
    <rPh sb="8" eb="10">
      <t>ネンド</t>
    </rPh>
    <rPh sb="10" eb="12">
      <t>キカク</t>
    </rPh>
    <rPh sb="12" eb="14">
      <t>キョウソウ</t>
    </rPh>
    <rPh sb="14" eb="16">
      <t>ジッシ</t>
    </rPh>
    <phoneticPr fontId="38"/>
  </si>
  <si>
    <t>民51</t>
    <rPh sb="0" eb="1">
      <t>ミン</t>
    </rPh>
    <phoneticPr fontId="2"/>
  </si>
  <si>
    <t>22G127</t>
  </si>
  <si>
    <t>04-36</t>
  </si>
  <si>
    <t>「外務省ＣＩＯ補佐官業務（Ｂチーム）」委嘱契約</t>
    <rPh sb="10" eb="12">
      <t>ギョウム</t>
    </rPh>
    <rPh sb="19" eb="21">
      <t>イショク</t>
    </rPh>
    <rPh sb="21" eb="23">
      <t>ケイヤク</t>
    </rPh>
    <phoneticPr fontId="4"/>
  </si>
  <si>
    <t>ティーディーシーソフトウェアエンジニアリング株式会社</t>
  </si>
  <si>
    <t>東京都渋谷区千駄ケ谷５－３３－６</t>
  </si>
  <si>
    <t>Ｂチーム
H19年度企画競争実施</t>
    <rPh sb="8" eb="10">
      <t>ネンド</t>
    </rPh>
    <rPh sb="10" eb="12">
      <t>キカク</t>
    </rPh>
    <rPh sb="12" eb="14">
      <t>キョウソウ</t>
    </rPh>
    <rPh sb="14" eb="16">
      <t>ジッシ</t>
    </rPh>
    <phoneticPr fontId="38"/>
  </si>
  <si>
    <t>⑥アC22</t>
    <phoneticPr fontId="2"/>
  </si>
  <si>
    <t>C</t>
  </si>
  <si>
    <t>22X050</t>
  </si>
  <si>
    <t>領安</t>
  </si>
  <si>
    <t>04-37</t>
  </si>
  <si>
    <t>「海外安全ホームページ運用管理」業務委嘱</t>
  </si>
  <si>
    <t>日立インターメディックス株式会社</t>
  </si>
  <si>
    <t>東京都千代田区神田錦町２－１－５</t>
  </si>
  <si>
    <t>現在稼働中のシステムの運用管理業務を同システムの開発業者である契約の相手方に委嘱するものであり，通信に障害を及ぼすことなく安定運用を確実に遂行しうる者は他になく，他に競争を許さないため（会計法第29条の3第4項）。</t>
    <rPh sb="81" eb="82">
      <t>タ</t>
    </rPh>
    <phoneticPr fontId="2"/>
  </si>
  <si>
    <t>民262</t>
    <rPh sb="0" eb="1">
      <t>ミン</t>
    </rPh>
    <phoneticPr fontId="2"/>
  </si>
  <si>
    <t>22年度移行計画があるも出来ずだが、23年度に統合達成。</t>
    <rPh sb="2" eb="4">
      <t>ネンド</t>
    </rPh>
    <rPh sb="4" eb="6">
      <t>イコウ</t>
    </rPh>
    <rPh sb="6" eb="8">
      <t>ケイカク</t>
    </rPh>
    <rPh sb="12" eb="14">
      <t>デキ</t>
    </rPh>
    <rPh sb="20" eb="22">
      <t>ネンド</t>
    </rPh>
    <rPh sb="23" eb="25">
      <t>トウゴウ</t>
    </rPh>
    <rPh sb="25" eb="27">
      <t>タッセイ</t>
    </rPh>
    <phoneticPr fontId="2"/>
  </si>
  <si>
    <t>22M038
22M039</t>
  </si>
  <si>
    <t>04-38</t>
  </si>
  <si>
    <t>22W071</t>
  </si>
  <si>
    <t>04-39</t>
  </si>
  <si>
    <t>「プリンター」賃貸借保守</t>
  </si>
  <si>
    <t>①リコーリース株式会社
②新日鉄ソリューションズ株式会社</t>
  </si>
  <si>
    <t>①東京都中央区銀座７－１６－３
②東京都中央区新川２－２０－１５</t>
  </si>
  <si>
    <t>当初の契約において，複数年度にわたる契約期間を条件としており，他に競争を許さないため（会計法第29条3の第4項）。</t>
  </si>
  <si>
    <t>○</t>
  </si>
  <si>
    <t>22W092</t>
  </si>
  <si>
    <t>04-40</t>
  </si>
  <si>
    <t>「電子入札・開札システム運用支援」業務委嘱</t>
    <rPh sb="17" eb="19">
      <t>ギョウム</t>
    </rPh>
    <rPh sb="19" eb="21">
      <t>イショク</t>
    </rPh>
    <phoneticPr fontId="4"/>
  </si>
  <si>
    <t>日本ヒューレッドパッカード株式会社</t>
  </si>
  <si>
    <t>現在稼働中のシステムの運用管理業務を同システムの開発業者である契約の相手方に委嘱するものであり，通信に障害を及ぼすことなく安定運用を確実に遂行しうる者は他になく競争を許さないため（会計法第29条の3第4項）。</t>
  </si>
  <si>
    <t>民35</t>
    <rPh sb="0" eb="1">
      <t>ミン</t>
    </rPh>
    <phoneticPr fontId="2"/>
  </si>
  <si>
    <t>府省共通システム導入予定の22年度に出来ず、さらに25年度移行に予定変更。</t>
    <rPh sb="0" eb="2">
      <t>フショウ</t>
    </rPh>
    <rPh sb="2" eb="4">
      <t>キョウツウ</t>
    </rPh>
    <rPh sb="8" eb="10">
      <t>ドウニュウ</t>
    </rPh>
    <rPh sb="10" eb="12">
      <t>ヨテイ</t>
    </rPh>
    <rPh sb="15" eb="17">
      <t>ネンド</t>
    </rPh>
    <rPh sb="18" eb="20">
      <t>デキ</t>
    </rPh>
    <rPh sb="27" eb="29">
      <t>ネンド</t>
    </rPh>
    <rPh sb="29" eb="31">
      <t>イコウ</t>
    </rPh>
    <rPh sb="32" eb="34">
      <t>ヨテイ</t>
    </rPh>
    <rPh sb="34" eb="36">
      <t>ヘンコウ</t>
    </rPh>
    <phoneticPr fontId="2"/>
  </si>
  <si>
    <t>22M020</t>
  </si>
  <si>
    <t>04-41</t>
  </si>
  <si>
    <t>「旅券発給管理システムの運用支援」業務委嘱</t>
    <rPh sb="17" eb="19">
      <t>ギョウム</t>
    </rPh>
    <rPh sb="19" eb="21">
      <t>イショク</t>
    </rPh>
    <phoneticPr fontId="4"/>
  </si>
  <si>
    <t>現在稼働中のシステムの運用支援業務を同システムの開発業者である契約の相手方に委嘱するものであり，通信に障害を及ぼすことなく安定運用を確実に遂行しうる者は他になく，他に競争を許さないため（会計法第29条の3第4項）。</t>
  </si>
  <si>
    <t>×競争あり（22年度～）</t>
    <rPh sb="1" eb="3">
      <t>キョウソウ</t>
    </rPh>
    <rPh sb="8" eb="10">
      <t>ネンド</t>
    </rPh>
    <phoneticPr fontId="2"/>
  </si>
  <si>
    <t>22Z039</t>
  </si>
  <si>
    <t>04-42</t>
  </si>
  <si>
    <t>「ホストコンピュータシステムの業務システム最適化コンサルティング」業務委嘱</t>
    <rPh sb="35" eb="37">
      <t>イショク</t>
    </rPh>
    <phoneticPr fontId="4"/>
  </si>
  <si>
    <t>プライスウォ－ターハウスクーパース株式会社</t>
  </si>
  <si>
    <t>東京都中央区銀座８－２１－１</t>
  </si>
  <si>
    <t>⑥ア（企画）2</t>
  </si>
  <si>
    <t>2</t>
  </si>
  <si>
    <t>⑥アC22</t>
    <phoneticPr fontId="4"/>
  </si>
  <si>
    <t>C</t>
    <phoneticPr fontId="2"/>
  </si>
  <si>
    <t>○(27年度以降）</t>
    <rPh sb="4" eb="6">
      <t>ネンド</t>
    </rPh>
    <rPh sb="6" eb="8">
      <t>イコウ</t>
    </rPh>
    <phoneticPr fontId="2"/>
  </si>
  <si>
    <t>22W037</t>
  </si>
  <si>
    <t>報際</t>
  </si>
  <si>
    <t>04-43</t>
  </si>
  <si>
    <t>「外電検索システム一式」賃貸借保守</t>
  </si>
  <si>
    <t>①東京センチュリーリース株式会社
②株式会社ラデックス</t>
  </si>
  <si>
    <t>①東京都港区浜松町２―４―１
②東京都台東区台東２－９－４</t>
  </si>
  <si>
    <t>現在稼働中のシステムの機器入替を同システムの開発業者である契約の相手方に委嘱するものであり，通信に障害を及ぼすことなく安定運用を確実に遂行しうる者は他になく，他に競争を許さないため（会計法第29条の3第4項）。</t>
  </si>
  <si>
    <t>民223</t>
    <rPh sb="0" eb="1">
      <t>ミン</t>
    </rPh>
    <phoneticPr fontId="2"/>
  </si>
  <si>
    <t>ＣＩＯ補佐官と協議の上、現行のままで使用することに。22年から5年国債で27年度意向見直し</t>
    <rPh sb="3" eb="6">
      <t>ホサカン</t>
    </rPh>
    <rPh sb="7" eb="9">
      <t>キョウギ</t>
    </rPh>
    <rPh sb="10" eb="11">
      <t>ウエ</t>
    </rPh>
    <rPh sb="12" eb="14">
      <t>ゲンコウ</t>
    </rPh>
    <rPh sb="18" eb="20">
      <t>シヨウ</t>
    </rPh>
    <rPh sb="28" eb="29">
      <t>ネン</t>
    </rPh>
    <rPh sb="32" eb="33">
      <t>ネン</t>
    </rPh>
    <rPh sb="33" eb="35">
      <t>コクサイ</t>
    </rPh>
    <rPh sb="38" eb="40">
      <t>ネンド</t>
    </rPh>
    <rPh sb="40" eb="42">
      <t>イコウ</t>
    </rPh>
    <rPh sb="42" eb="44">
      <t>ミナオ</t>
    </rPh>
    <phoneticPr fontId="2"/>
  </si>
  <si>
    <t>22Z015</t>
  </si>
  <si>
    <t>04-44</t>
  </si>
  <si>
    <t>「ＵＴＭ装置等」賃貸借保守</t>
  </si>
  <si>
    <t>22W147</t>
  </si>
  <si>
    <t>報ＩＴ</t>
  </si>
  <si>
    <t>04-45</t>
  </si>
  <si>
    <t>「外務省IT広報業務のシステム最適化に伴うＷｅｂコンテンツ管理・運用」業務委嘱</t>
    <rPh sb="1" eb="4">
      <t>ガイムショウ</t>
    </rPh>
    <rPh sb="6" eb="8">
      <t>コウホウ</t>
    </rPh>
    <rPh sb="8" eb="10">
      <t>ギョウム</t>
    </rPh>
    <rPh sb="15" eb="18">
      <t>サイテキカ</t>
    </rPh>
    <rPh sb="19" eb="20">
      <t>トモナ</t>
    </rPh>
    <rPh sb="29" eb="31">
      <t>カンリ</t>
    </rPh>
    <rPh sb="32" eb="34">
      <t>ウンヨウ</t>
    </rPh>
    <rPh sb="35" eb="37">
      <t>ギョウム</t>
    </rPh>
    <rPh sb="37" eb="39">
      <t>イショク</t>
    </rPh>
    <phoneticPr fontId="23"/>
  </si>
  <si>
    <t>エヌ・ティ・ティラーニングシステム株式会社</t>
  </si>
  <si>
    <t>東京都港区南麻布１－６－１５</t>
  </si>
  <si>
    <t>22W084</t>
  </si>
  <si>
    <t>04-46</t>
  </si>
  <si>
    <t>「次世代共通プラットフォーム構築に係るコンサルティング」業務委嘱</t>
    <rPh sb="28" eb="30">
      <t>ギョウム</t>
    </rPh>
    <rPh sb="30" eb="32">
      <t>イショク</t>
    </rPh>
    <phoneticPr fontId="4"/>
  </si>
  <si>
    <t>アクセンチュア株式会社</t>
  </si>
  <si>
    <t>東京都港区赤坂１－１１－４４</t>
  </si>
  <si>
    <t>22M048</t>
  </si>
  <si>
    <t>04-47</t>
  </si>
  <si>
    <t>「ＩＣ旅券用交付窓口端末機保守」業務委嘱</t>
    <rPh sb="16" eb="18">
      <t>ギョウム</t>
    </rPh>
    <rPh sb="18" eb="20">
      <t>イショク</t>
    </rPh>
    <phoneticPr fontId="4"/>
  </si>
  <si>
    <t>一般競争入札によりシステムの開発業者を選定したものであるが，本保守業務についてもその競争条件としており，他に競争を許さないため（会計法第29条の3第4項）。</t>
  </si>
  <si>
    <t>×競争あり（20年度～）</t>
    <rPh sb="1" eb="3">
      <t>キョウソウ</t>
    </rPh>
    <rPh sb="8" eb="10">
      <t>ネンド</t>
    </rPh>
    <phoneticPr fontId="2"/>
  </si>
  <si>
    <t>22W128</t>
  </si>
  <si>
    <t>領政</t>
  </si>
  <si>
    <t>04-48</t>
  </si>
  <si>
    <t>「在留届電子届出システム及び領事関連データ管理システム運用支援」業務委嘱</t>
  </si>
  <si>
    <t>民282</t>
    <rPh sb="0" eb="1">
      <t>ミン</t>
    </rPh>
    <phoneticPr fontId="2"/>
  </si>
  <si>
    <t>22Z052</t>
  </si>
  <si>
    <t>04-49</t>
  </si>
  <si>
    <t>「基幹通信網運用支援」業務委嘱</t>
    <rPh sb="13" eb="15">
      <t>イショク</t>
    </rPh>
    <phoneticPr fontId="4"/>
  </si>
  <si>
    <t>三菱電機株式会社</t>
  </si>
  <si>
    <t>東京都千代田区丸の内２－７－３</t>
  </si>
  <si>
    <t>現在稼働中のシステムの運用支援業務を同システムの開発業者である契約の相手方に委嘱するものであり，通信に障害を及ぼすことなく安定運用を確実に遂行しうる者はなく，他に競争を許さないため（会計法第29条の3第4項）。</t>
  </si>
  <si>
    <t>22M045</t>
  </si>
  <si>
    <t>04-50</t>
  </si>
  <si>
    <t>「ＩＣ旅券用書込機一式」賃貸借契約</t>
    <rPh sb="15" eb="17">
      <t>ケイヤク</t>
    </rPh>
    <phoneticPr fontId="4"/>
  </si>
  <si>
    <t>①東芝ファイナンス株式会社
②株式会社東芝</t>
  </si>
  <si>
    <t>①東京都中央区銀座５－２－１
②東京都港区芝浦１－１－１</t>
  </si>
  <si>
    <t>⑥アAﾛ</t>
  </si>
  <si>
    <t>◎</t>
    <phoneticPr fontId="2"/>
  </si>
  <si>
    <t>22Z030　　　22S090</t>
  </si>
  <si>
    <t>北米地</t>
  </si>
  <si>
    <t>04-51</t>
  </si>
  <si>
    <t>「沖縄事務所建物」賃貸借契約</t>
    <rPh sb="11" eb="12">
      <t>カ</t>
    </rPh>
    <phoneticPr fontId="4"/>
  </si>
  <si>
    <t>大同火災海上保険株式会社</t>
  </si>
  <si>
    <t>沖縄県那覇市久茂地１－１２－１</t>
  </si>
  <si>
    <t>契約目的，行政効率等を勘案した結果，契約物件に代替可能な物件は見当たらず，他に競争を許さないため（会計法第29条の3第4項）。</t>
  </si>
  <si>
    <t>民242</t>
    <rPh sb="0" eb="1">
      <t>ミン</t>
    </rPh>
    <phoneticPr fontId="2"/>
  </si>
  <si>
    <t>22M042</t>
  </si>
  <si>
    <t>04-52</t>
  </si>
  <si>
    <t>「ＩＣ旅券作成機保守」業務委嘱</t>
    <rPh sb="11" eb="13">
      <t>ギョウム</t>
    </rPh>
    <rPh sb="13" eb="15">
      <t>イショク</t>
    </rPh>
    <phoneticPr fontId="4"/>
  </si>
  <si>
    <t>現在稼働中のシステムの移設等業務を同システムの開発業者である契約の相手方に委嘱するものであり，通信に障害を及ぼすことなく安定運用を確実に遂行しうる者はなく，他に競争を許さないため（会計法第29条の3第4項）。</t>
  </si>
  <si>
    <t>×
移行済み
(22年度）</t>
    <rPh sb="2" eb="4">
      <t>イコウ</t>
    </rPh>
    <rPh sb="4" eb="5">
      <t>ズ</t>
    </rPh>
    <rPh sb="10" eb="12">
      <t>ネンド</t>
    </rPh>
    <phoneticPr fontId="34"/>
  </si>
  <si>
    <t>22M033</t>
  </si>
  <si>
    <t>04-53</t>
  </si>
  <si>
    <t>「旅券発給管理バックアップシステム」賃貸借保守</t>
  </si>
  <si>
    <t>当該機器等は今後も一定期間は業務上の使用に耐えられるところ，引き続き現行機器を賃貸借することが同等物件の新規調達に比べ割安であり，業務効率・費用面から他に競争を許さないため。（会計法第29条の3第4項）</t>
  </si>
  <si>
    <t>22年4月～9月は随契、10月～3月は一般入札で処理（一者応札）よって随契から外れ、以降済みへ</t>
    <rPh sb="2" eb="3">
      <t>ネン</t>
    </rPh>
    <rPh sb="4" eb="5">
      <t>ガツ</t>
    </rPh>
    <rPh sb="7" eb="8">
      <t>ガツ</t>
    </rPh>
    <rPh sb="9" eb="10">
      <t>ズイ</t>
    </rPh>
    <rPh sb="10" eb="11">
      <t>ケイ</t>
    </rPh>
    <rPh sb="14" eb="15">
      <t>ガツ</t>
    </rPh>
    <rPh sb="17" eb="18">
      <t>ガツ</t>
    </rPh>
    <rPh sb="19" eb="21">
      <t>イッパン</t>
    </rPh>
    <rPh sb="21" eb="23">
      <t>ニュウサツ</t>
    </rPh>
    <rPh sb="24" eb="26">
      <t>ショリ</t>
    </rPh>
    <rPh sb="27" eb="28">
      <t>イチ</t>
    </rPh>
    <rPh sb="28" eb="29">
      <t>モノ</t>
    </rPh>
    <rPh sb="29" eb="31">
      <t>オウサツ</t>
    </rPh>
    <rPh sb="35" eb="36">
      <t>ズイ</t>
    </rPh>
    <rPh sb="36" eb="37">
      <t>ケイ</t>
    </rPh>
    <rPh sb="39" eb="40">
      <t>ハズ</t>
    </rPh>
    <rPh sb="42" eb="44">
      <t>イコウ</t>
    </rPh>
    <rPh sb="44" eb="45">
      <t>ス</t>
    </rPh>
    <phoneticPr fontId="2"/>
  </si>
  <si>
    <t>22W140</t>
  </si>
  <si>
    <t>04-54</t>
  </si>
  <si>
    <t>「省内ＬＡＮ用サーバ機器一式」賃貸借保守</t>
  </si>
  <si>
    <t>①日立キャピタル株式会社
②新日鉄ソリューションズ株式会社</t>
  </si>
  <si>
    <t>①東京都港区西新橋２－１５－１２
②東京都中央区新川２－２０－１５</t>
  </si>
  <si>
    <t>ＡＰ準</t>
  </si>
  <si>
    <t>04-55</t>
  </si>
  <si>
    <t>「日本ＡＰＥＣ準備事務局用事務用什器類等一式」賃貸借契約</t>
    <rPh sb="12" eb="13">
      <t>ヨウ</t>
    </rPh>
    <rPh sb="26" eb="28">
      <t>ケイヤク</t>
    </rPh>
    <phoneticPr fontId="4"/>
  </si>
  <si>
    <t>広友リース株式会社</t>
  </si>
  <si>
    <t>東京都港区赤坂１－４－１７</t>
  </si>
  <si>
    <t>当該什器等は今後も一定期間は業務上の使用に耐えられるところ，引き続き現行什器を賃貸借することが同等物件の新規調達に比べ割安であり，業務効率・費用面から他に競争を許さないため。(会計法第29条の3第4項)</t>
  </si>
  <si>
    <t>本件は各省庁の合同契約であり，契約金額14,962,500円のうち取り決めにより当省負担額は6,733,125円となっている。</t>
    <rPh sb="0" eb="2">
      <t>ホンケン</t>
    </rPh>
    <rPh sb="3" eb="6">
      <t>カクショウチョウ</t>
    </rPh>
    <rPh sb="7" eb="9">
      <t>ゴウドウ</t>
    </rPh>
    <rPh sb="9" eb="11">
      <t>ケイヤク</t>
    </rPh>
    <rPh sb="15" eb="18">
      <t>ケイヤクキン</t>
    </rPh>
    <rPh sb="18" eb="19">
      <t>ガク</t>
    </rPh>
    <rPh sb="29" eb="30">
      <t>エン</t>
    </rPh>
    <rPh sb="33" eb="34">
      <t>ト</t>
    </rPh>
    <rPh sb="35" eb="36">
      <t>キ</t>
    </rPh>
    <rPh sb="40" eb="42">
      <t>トウショウ</t>
    </rPh>
    <rPh sb="42" eb="45">
      <t>フタンガク</t>
    </rPh>
    <rPh sb="55" eb="56">
      <t>エン</t>
    </rPh>
    <phoneticPr fontId="2"/>
  </si>
  <si>
    <t>22M046</t>
  </si>
  <si>
    <t>04-56</t>
  </si>
  <si>
    <t>「ＩＣ旅券作成機書込機保守」業務委嘱</t>
    <rPh sb="14" eb="16">
      <t>ギョウム</t>
    </rPh>
    <rPh sb="16" eb="18">
      <t>イショク</t>
    </rPh>
    <phoneticPr fontId="4"/>
  </si>
  <si>
    <t>22M022</t>
  </si>
  <si>
    <t>04-57</t>
  </si>
  <si>
    <t>「会計業務システム用サーバ等一式」賃貸借保守</t>
  </si>
  <si>
    <t>①日立キャピタル株式会社
②株式会社日立製作所</t>
  </si>
  <si>
    <t>①東京都港区西新橋２－１５－１２
②東京都江東区新砂１－６－２７</t>
  </si>
  <si>
    <t>Ｈ18／10／13入札公告にてＨ23／1／28まで随意契約の旨公表済み</t>
  </si>
  <si>
    <t>22Z016</t>
  </si>
  <si>
    <t>04-58</t>
  </si>
  <si>
    <t>「ネットワーク関連機器」賃貸借保守</t>
  </si>
  <si>
    <t>①東京都港区浜松町２―４―１
②東京都中央区新川２－２０－１５</t>
  </si>
  <si>
    <t>22M053
22M054</t>
  </si>
  <si>
    <t>04-59</t>
  </si>
  <si>
    <t>「旅券申請書画像ファイリングサーバ」賃貸借保守</t>
  </si>
  <si>
    <t>22M051
22M052</t>
  </si>
  <si>
    <t>04-60</t>
  </si>
  <si>
    <t>「申請書画像ファイリングサーバ」賃貸借保守</t>
  </si>
  <si>
    <t>19年度導入分
（一般競争にて業者選定）</t>
    <rPh sb="2" eb="4">
      <t>ネンド</t>
    </rPh>
    <rPh sb="4" eb="6">
      <t>ドウニュウ</t>
    </rPh>
    <rPh sb="6" eb="7">
      <t>ブン</t>
    </rPh>
    <rPh sb="9" eb="11">
      <t>イッパン</t>
    </rPh>
    <rPh sb="11" eb="13">
      <t>キョウソウ</t>
    </rPh>
    <rPh sb="15" eb="17">
      <t>ギョウシャ</t>
    </rPh>
    <rPh sb="17" eb="19">
      <t>センテイ</t>
    </rPh>
    <phoneticPr fontId="34"/>
  </si>
  <si>
    <t>22G156</t>
  </si>
  <si>
    <t>国協総</t>
    <rPh sb="2" eb="3">
      <t>ソウ</t>
    </rPh>
    <phoneticPr fontId="2"/>
  </si>
  <si>
    <t>04-61</t>
  </si>
  <si>
    <t>「国際協力局業務システム稼働監視及び運用管理」業務委嘱</t>
    <rPh sb="6" eb="8">
      <t>ギョウム</t>
    </rPh>
    <rPh sb="14" eb="16">
      <t>カンシ</t>
    </rPh>
    <rPh sb="16" eb="17">
      <t>オヨ</t>
    </rPh>
    <rPh sb="18" eb="20">
      <t>ウンヨウ</t>
    </rPh>
    <rPh sb="20" eb="22">
      <t>カンリ</t>
    </rPh>
    <phoneticPr fontId="4"/>
  </si>
  <si>
    <t>22M019</t>
  </si>
  <si>
    <t>04-62</t>
  </si>
  <si>
    <t>「ＩＣ旅券作成機等運用支援」業務委嘱</t>
    <rPh sb="8" eb="9">
      <t>トウ</t>
    </rPh>
    <rPh sb="14" eb="16">
      <t>ギョウム</t>
    </rPh>
    <rPh sb="16" eb="18">
      <t>イショク</t>
    </rPh>
    <phoneticPr fontId="4"/>
  </si>
  <si>
    <t>20年度まで秘契約</t>
    <rPh sb="2" eb="4">
      <t>ネンド</t>
    </rPh>
    <rPh sb="6" eb="7">
      <t>ヒ</t>
    </rPh>
    <rPh sb="7" eb="9">
      <t>ケイヤク</t>
    </rPh>
    <phoneticPr fontId="34"/>
  </si>
  <si>
    <t>22M024</t>
  </si>
  <si>
    <t>04-63</t>
  </si>
  <si>
    <t>「ホストコンピュータシステムにおけるマイグレーションに係るハードウェア等一式」賃貸借保守</t>
  </si>
  <si>
    <t>①日立キャピタル株式会社
②日立ソフトウェアエンジニアリング株式会社</t>
  </si>
  <si>
    <t>①東京都港区西新橋２－１５－１２
②東京都港区芝１－１０－１１</t>
    <rPh sb="18" eb="21">
      <t>トウキョウト</t>
    </rPh>
    <phoneticPr fontId="24"/>
  </si>
  <si>
    <t>22M023</t>
  </si>
  <si>
    <t>04-64</t>
  </si>
  <si>
    <t>「ホストコンピュータシステムにおけるマイグレーションに係るソフトウェア等一式」賃貸借保守</t>
  </si>
  <si>
    <t>①東京都港区西新橋２－１５－１２　　　　　　②東京都港区芝１－１０－１１</t>
    <rPh sb="23" eb="26">
      <t>トウキョウト</t>
    </rPh>
    <phoneticPr fontId="24"/>
  </si>
  <si>
    <t>22W068</t>
  </si>
  <si>
    <t>04-65</t>
  </si>
  <si>
    <t>「モバイルパソコン等一式」賃貸借保守</t>
  </si>
  <si>
    <t>19年度一般競争にて業者選定。
Ｈ１９／７／２６　Ｈ２３／１０／３１まで随意契約の旨公表済み</t>
    <rPh sb="2" eb="4">
      <t>ネンド</t>
    </rPh>
    <rPh sb="4" eb="6">
      <t>イッパン</t>
    </rPh>
    <rPh sb="6" eb="8">
      <t>キョウソウ</t>
    </rPh>
    <rPh sb="10" eb="12">
      <t>ギョウシャ</t>
    </rPh>
    <rPh sb="12" eb="14">
      <t>センテイ</t>
    </rPh>
    <phoneticPr fontId="34"/>
  </si>
  <si>
    <t>⑥アAﾆ(ﾍ)</t>
  </si>
  <si>
    <t>A</t>
  </si>
  <si>
    <t>22G138</t>
  </si>
  <si>
    <t>04-66</t>
  </si>
  <si>
    <t>「法律顧問」業務委嘱</t>
  </si>
  <si>
    <t>田辺総合法律事務所</t>
  </si>
  <si>
    <t>東京都千代田区丸の内３－４－２</t>
  </si>
  <si>
    <t>過去における法律相談等の継続性・整合性を保ちつつ，円滑な対応を確保していくためには，これまでに培った実績と情報の蓄積が必要不可欠であり，また，当省との間に十分な信頼関係を確立出来ている者は，本契約の相手方の他になく，他に競争を許さないため。(会計法第29条の3第4項)</t>
  </si>
  <si>
    <t>民212</t>
    <rPh sb="0" eb="1">
      <t>ミン</t>
    </rPh>
    <phoneticPr fontId="2"/>
  </si>
  <si>
    <t>22W129</t>
  </si>
  <si>
    <t>04-67</t>
  </si>
  <si>
    <t>「ＡＰ通信ニュース」受信契約</t>
  </si>
  <si>
    <t>ＡＰ通信社</t>
  </si>
  <si>
    <t xml:space="preserve">東京都港区東新橋１－７－１ </t>
  </si>
  <si>
    <t>当該情報サービスの提供元と直接契約するものであり，他に競争を許さないため。(会計法第29条の3第4項)</t>
  </si>
  <si>
    <t>民219</t>
    <rPh sb="0" eb="1">
      <t>ミン</t>
    </rPh>
    <phoneticPr fontId="2"/>
  </si>
  <si>
    <t>22W090</t>
  </si>
  <si>
    <t>04-68</t>
  </si>
  <si>
    <t>「電子入札・開札システム用機器一式」賃貸借保守</t>
  </si>
  <si>
    <t>①日本ヒューレッドパッカード株式会社
②日本ＨＰファイナンシャルサービス株式会社</t>
  </si>
  <si>
    <t>①東京都杉並区高井戸東３－２９－２１
②東京都千代田区五番町７</t>
    <rPh sb="27" eb="30">
      <t>ゴバンチョウ</t>
    </rPh>
    <phoneticPr fontId="24"/>
  </si>
  <si>
    <t>22W081</t>
  </si>
  <si>
    <t>04-69</t>
  </si>
  <si>
    <t>「総合的文書管理システム保守」業務委嘱</t>
    <rPh sb="15" eb="17">
      <t>ギョウム</t>
    </rPh>
    <rPh sb="17" eb="19">
      <t>イショク</t>
    </rPh>
    <phoneticPr fontId="4"/>
  </si>
  <si>
    <t>20年度ｼｽﾃﾑ以降業務契約(随契）</t>
    <rPh sb="2" eb="4">
      <t>ネンド</t>
    </rPh>
    <rPh sb="8" eb="10">
      <t>イコウ</t>
    </rPh>
    <rPh sb="10" eb="12">
      <t>ギョウム</t>
    </rPh>
    <rPh sb="12" eb="14">
      <t>ケイヤク</t>
    </rPh>
    <rPh sb="15" eb="17">
      <t>ズイケイ</t>
    </rPh>
    <phoneticPr fontId="34"/>
  </si>
  <si>
    <t>22Z110</t>
  </si>
  <si>
    <t>04-70</t>
  </si>
  <si>
    <t>「在外ＬＡＮグループウェア・サポート延長」業務委嘱</t>
  </si>
  <si>
    <t>日本アイ・ビー・エム株式会社</t>
  </si>
  <si>
    <t>東京都港区六本木３－２－１２</t>
  </si>
  <si>
    <t>現在稼働中のシステムの保守業務を同システムの開発業者である契約の相手方に委嘱するものであり，通信に障害を及ぼすことなく安定運用を確実に遂行しうる者は他になく，他に競争を許さないため。(会計法第29条の3第4項)</t>
  </si>
  <si>
    <t>平成20年度より
秘案件だが公表</t>
    <rPh sb="0" eb="2">
      <t>ヘイセイ</t>
    </rPh>
    <rPh sb="4" eb="6">
      <t>ネンド</t>
    </rPh>
    <rPh sb="9" eb="10">
      <t>ヒ</t>
    </rPh>
    <rPh sb="10" eb="12">
      <t>アンケン</t>
    </rPh>
    <rPh sb="14" eb="16">
      <t>コウヒョウ</t>
    </rPh>
    <phoneticPr fontId="34"/>
  </si>
  <si>
    <t>22Z090</t>
  </si>
  <si>
    <t>04-71</t>
  </si>
  <si>
    <t>「在外ＬＡＮサーバ等」賃貸借保守</t>
  </si>
  <si>
    <t>22W125
ZA0002</t>
  </si>
  <si>
    <t>04-72</t>
  </si>
  <si>
    <t>「パーソナルコンピュータ等一式」賃貸借保守</t>
  </si>
  <si>
    <t>175台。平成18年度一般競争入札で契約相手選定</t>
    <rPh sb="3" eb="4">
      <t>ダイ</t>
    </rPh>
    <rPh sb="5" eb="7">
      <t>ヘイセイ</t>
    </rPh>
    <rPh sb="9" eb="11">
      <t>ネンド</t>
    </rPh>
    <rPh sb="11" eb="13">
      <t>イッパン</t>
    </rPh>
    <rPh sb="13" eb="15">
      <t>キョウソウ</t>
    </rPh>
    <rPh sb="15" eb="17">
      <t>ニュウサツ</t>
    </rPh>
    <rPh sb="18" eb="20">
      <t>ケイヤク</t>
    </rPh>
    <rPh sb="20" eb="22">
      <t>アイテ</t>
    </rPh>
    <rPh sb="22" eb="24">
      <t>センテイ</t>
    </rPh>
    <phoneticPr fontId="34"/>
  </si>
  <si>
    <t>⑥アB24</t>
    <phoneticPr fontId="4"/>
  </si>
  <si>
    <t>○(24年度以降）</t>
    <rPh sb="4" eb="6">
      <t>ネンド</t>
    </rPh>
    <rPh sb="6" eb="8">
      <t>イコウ</t>
    </rPh>
    <phoneticPr fontId="2"/>
  </si>
  <si>
    <t>22Z041</t>
  </si>
  <si>
    <t>04-73</t>
  </si>
  <si>
    <t>「在外経理システム運用保守」業務委嘱</t>
    <rPh sb="9" eb="11">
      <t>ウンヨウ</t>
    </rPh>
    <rPh sb="14" eb="16">
      <t>ギョウム</t>
    </rPh>
    <rPh sb="16" eb="18">
      <t>イショク</t>
    </rPh>
    <phoneticPr fontId="4"/>
  </si>
  <si>
    <t>エヌ・ティ・ティ・コムウェア株式会社</t>
  </si>
  <si>
    <t>東京都港区港南１－９－１</t>
  </si>
  <si>
    <t>新在外経理ｼｽﾃﾑへの移行は平成24年度の予定</t>
    <rPh sb="0" eb="1">
      <t>シン</t>
    </rPh>
    <rPh sb="1" eb="3">
      <t>ザイガイ</t>
    </rPh>
    <rPh sb="3" eb="5">
      <t>ケイリ</t>
    </rPh>
    <rPh sb="11" eb="13">
      <t>イコウ</t>
    </rPh>
    <rPh sb="14" eb="16">
      <t>ヘイセイ</t>
    </rPh>
    <rPh sb="18" eb="20">
      <t>ネンド</t>
    </rPh>
    <rPh sb="21" eb="23">
      <t>ヨテイ</t>
    </rPh>
    <phoneticPr fontId="34"/>
  </si>
  <si>
    <t>民174</t>
    <rPh sb="0" eb="1">
      <t>ミン</t>
    </rPh>
    <phoneticPr fontId="2"/>
  </si>
  <si>
    <t>ZA0000</t>
  </si>
  <si>
    <t>04-74</t>
  </si>
  <si>
    <t>49台。平成20年度一般競争入札で契約相手選定</t>
    <rPh sb="2" eb="3">
      <t>ダイ</t>
    </rPh>
    <rPh sb="4" eb="6">
      <t>ヘイセイ</t>
    </rPh>
    <rPh sb="8" eb="10">
      <t>ネンド</t>
    </rPh>
    <rPh sb="10" eb="12">
      <t>イッパン</t>
    </rPh>
    <rPh sb="12" eb="14">
      <t>キョウソウ</t>
    </rPh>
    <rPh sb="14" eb="16">
      <t>ニュウサツ</t>
    </rPh>
    <rPh sb="17" eb="19">
      <t>ケイヤク</t>
    </rPh>
    <rPh sb="19" eb="21">
      <t>アイテ</t>
    </rPh>
    <rPh sb="21" eb="23">
      <t>センテイ</t>
    </rPh>
    <phoneticPr fontId="34"/>
  </si>
  <si>
    <t>22P100　22P101</t>
  </si>
  <si>
    <t>04-75</t>
  </si>
  <si>
    <t>「外務省入退庁管理システム保守」業務委嘱</t>
  </si>
  <si>
    <t>株式会社エヌ・ティ・ティ・データ</t>
  </si>
  <si>
    <t>東京都江東区豊洲３－３－３</t>
  </si>
  <si>
    <t>22X019</t>
  </si>
  <si>
    <t>04-76</t>
  </si>
  <si>
    <t>「グローバル教育コンクール２０１０」開催業務委嘱</t>
    <rPh sb="18" eb="20">
      <t>カイサイ</t>
    </rPh>
    <rPh sb="20" eb="22">
      <t>ギョウム</t>
    </rPh>
    <rPh sb="22" eb="24">
      <t>イショク</t>
    </rPh>
    <phoneticPr fontId="4"/>
  </si>
  <si>
    <t>株式会社ＪＴＢコミュニケーションズ</t>
  </si>
  <si>
    <t>東京都品川区上大崎２－２４－９</t>
    <rPh sb="0" eb="2">
      <t>トウキョウ</t>
    </rPh>
    <rPh sb="2" eb="3">
      <t>ト</t>
    </rPh>
    <rPh sb="3" eb="6">
      <t>シナガワク</t>
    </rPh>
    <rPh sb="6" eb="7">
      <t>ウエ</t>
    </rPh>
    <rPh sb="7" eb="9">
      <t>オオサキ</t>
    </rPh>
    <phoneticPr fontId="4"/>
  </si>
  <si>
    <t>22W070</t>
  </si>
  <si>
    <t>04-77</t>
  </si>
  <si>
    <t>情報１</t>
    <rPh sb="0" eb="2">
      <t>ジョウホウ</t>
    </rPh>
    <phoneticPr fontId="2"/>
  </si>
  <si>
    <t>04-78</t>
  </si>
  <si>
    <t>「ＣＮＮ放送」受信契約</t>
  </si>
  <si>
    <t>株式会社日本ケーブルテレビジョン</t>
    <rPh sb="0" eb="4">
      <t>カブシキガイシャ</t>
    </rPh>
    <phoneticPr fontId="4"/>
  </si>
  <si>
    <t>東京都渋谷区神宮前１－３－１０</t>
    <rPh sb="0" eb="3">
      <t>トウキョウト</t>
    </rPh>
    <phoneticPr fontId="4"/>
  </si>
  <si>
    <t>本件サービスの提供が可能な業者は，本契約の相手方の他になく，他に競争を許さないため。(会計法第29条の3第4項)</t>
  </si>
  <si>
    <t>民178</t>
    <rPh sb="0" eb="1">
      <t>ミン</t>
    </rPh>
    <phoneticPr fontId="2"/>
  </si>
  <si>
    <t>22P265</t>
  </si>
  <si>
    <t>04-79</t>
  </si>
  <si>
    <t>「高速電子印刷システム保守」業務委嘱</t>
  </si>
  <si>
    <t>株式会社リコー</t>
  </si>
  <si>
    <t>東京都大田区中馬込１－３－６</t>
  </si>
  <si>
    <t>本契約の相手方は，本件設備等の製造メーカー若しくは長期にわたり保守業務を行ってきた実績を有しており，必要な知識・技術力・蓄積されたノウハウの他補修部品の調達能力，緊急時の対応等を含めて優れており，他に競争を許さないため。(会計法第29条の3第4項)</t>
  </si>
  <si>
    <t>22G104　22S117</t>
  </si>
  <si>
    <t>報報</t>
  </si>
  <si>
    <t>04-80</t>
  </si>
  <si>
    <t>「外交関係報道調査分析（テレビ論調分析）」業務委嘱</t>
    <rPh sb="21" eb="23">
      <t>ギョウム</t>
    </rPh>
    <rPh sb="23" eb="25">
      <t>イショク</t>
    </rPh>
    <phoneticPr fontId="4"/>
  </si>
  <si>
    <t>ＪＣＣ株式会社</t>
  </si>
  <si>
    <t>東京都台東区浅草橋１－１２－３</t>
  </si>
  <si>
    <t>⑥ア（企画）1</t>
  </si>
  <si>
    <t>民473</t>
    <rPh sb="0" eb="1">
      <t>ミン</t>
    </rPh>
    <phoneticPr fontId="2"/>
  </si>
  <si>
    <t>ok</t>
    <phoneticPr fontId="2"/>
  </si>
  <si>
    <t>22W088</t>
  </si>
  <si>
    <t>04-81</t>
  </si>
  <si>
    <t>「旅費ネットワークシステム保守」業務委嘱</t>
    <rPh sb="16" eb="18">
      <t>ギョウム</t>
    </rPh>
    <rPh sb="18" eb="20">
      <t>イショク</t>
    </rPh>
    <phoneticPr fontId="4"/>
  </si>
  <si>
    <t>民27</t>
    <rPh sb="0" eb="1">
      <t>ミン</t>
    </rPh>
    <phoneticPr fontId="2"/>
  </si>
  <si>
    <t>府省共通システム（SEABIS）の導入が平成24年度以降に延長のため。24年度以降見直し。</t>
    <rPh sb="0" eb="2">
      <t>フショウ</t>
    </rPh>
    <rPh sb="2" eb="4">
      <t>キョウツウ</t>
    </rPh>
    <rPh sb="17" eb="19">
      <t>ドウニュウ</t>
    </rPh>
    <rPh sb="20" eb="22">
      <t>ヘイセイ</t>
    </rPh>
    <rPh sb="24" eb="26">
      <t>ネンド</t>
    </rPh>
    <rPh sb="26" eb="28">
      <t>イコウ</t>
    </rPh>
    <rPh sb="29" eb="31">
      <t>エンチョウ</t>
    </rPh>
    <rPh sb="37" eb="39">
      <t>ネンド</t>
    </rPh>
    <rPh sb="39" eb="41">
      <t>イコウ</t>
    </rPh>
    <rPh sb="41" eb="43">
      <t>ミナオ</t>
    </rPh>
    <phoneticPr fontId="2"/>
  </si>
  <si>
    <t>22W199</t>
  </si>
  <si>
    <t>情報１</t>
  </si>
  <si>
    <t>04-82</t>
  </si>
  <si>
    <t>「ＯＸＦＯＲＤ　ＡＮＡＬＹＴＩＣＡ　ＤＡＩＬＹ　ＢＲＩＥＦ」利用契約</t>
    <rPh sb="30" eb="32">
      <t>リヨウ</t>
    </rPh>
    <rPh sb="32" eb="34">
      <t>ケイヤク</t>
    </rPh>
    <phoneticPr fontId="4"/>
  </si>
  <si>
    <t>株式会社ジェイエスキューブ</t>
  </si>
  <si>
    <t>東京都港区芝公園２－４－１</t>
  </si>
  <si>
    <t>民179</t>
    <rPh sb="0" eb="1">
      <t>ミン</t>
    </rPh>
    <phoneticPr fontId="2"/>
  </si>
  <si>
    <t>22Z044</t>
  </si>
  <si>
    <t>04-83</t>
  </si>
  <si>
    <t>「在外経理システム用サーバー機器等一式」賃貸借保守</t>
  </si>
  <si>
    <t>22Z043</t>
  </si>
  <si>
    <t>04-84</t>
  </si>
  <si>
    <t>「物品・現地職員管理システム保守」業務委嘱</t>
    <rPh sb="17" eb="19">
      <t>ギョウム</t>
    </rPh>
    <rPh sb="19" eb="21">
      <t>イショク</t>
    </rPh>
    <phoneticPr fontId="4"/>
  </si>
  <si>
    <t>22W150</t>
  </si>
  <si>
    <t>04-85</t>
  </si>
  <si>
    <t>「電子入札・開札システム・データセンター」賃貸借保守</t>
  </si>
  <si>
    <t>エヌ・ティ・ティコミュニケーションズ株式会社</t>
  </si>
  <si>
    <t>東京都千代田区内幸町１－１－６</t>
  </si>
  <si>
    <t>現在稼働中のシステムの運用支援業務を同システムの開発業者である契約の相手方に委嘱するものであり，通信に障害を及ぼすことなく安定運用を確実に遂行しうる者は他になく，他に競争を許さないため。(会計法第29条の3第4項)</t>
  </si>
  <si>
    <t>国債　平成１９年１２月１日～平成２１年３月３１日</t>
  </si>
  <si>
    <t>×競争あり(19年度～）</t>
    <rPh sb="1" eb="3">
      <t>キョウソウ</t>
    </rPh>
    <rPh sb="8" eb="10">
      <t>ネンド</t>
    </rPh>
    <phoneticPr fontId="2"/>
  </si>
  <si>
    <t>22G096</t>
  </si>
  <si>
    <t>欧ロ</t>
  </si>
  <si>
    <t>04-86</t>
  </si>
  <si>
    <t>「サハリン特報等資料作成」業務委嘱</t>
    <rPh sb="13" eb="15">
      <t>ギョウム</t>
    </rPh>
    <rPh sb="15" eb="17">
      <t>イショク</t>
    </rPh>
    <phoneticPr fontId="4"/>
  </si>
  <si>
    <t>法27</t>
    <rPh sb="0" eb="1">
      <t>ホウ</t>
    </rPh>
    <phoneticPr fontId="2"/>
  </si>
  <si>
    <t>○(25年度以降）</t>
    <rPh sb="4" eb="6">
      <t>ネンド</t>
    </rPh>
    <rPh sb="6" eb="8">
      <t>イコウ</t>
    </rPh>
    <phoneticPr fontId="2"/>
  </si>
  <si>
    <t>22W087</t>
  </si>
  <si>
    <t>04-87</t>
  </si>
  <si>
    <t>「物品管理システム保守」業務委嘱</t>
    <rPh sb="12" eb="14">
      <t>ギョウム</t>
    </rPh>
    <rPh sb="14" eb="16">
      <t>イショク</t>
    </rPh>
    <phoneticPr fontId="4"/>
  </si>
  <si>
    <t>民29</t>
    <rPh sb="0" eb="1">
      <t>ミン</t>
    </rPh>
    <phoneticPr fontId="2"/>
  </si>
  <si>
    <t>22Z111</t>
  </si>
  <si>
    <t>04-88</t>
  </si>
  <si>
    <t>22W098</t>
  </si>
  <si>
    <t>04-89</t>
  </si>
  <si>
    <t>「ＡＦＰニュースサービス」受信契約</t>
  </si>
  <si>
    <t>株式会社時事通信社</t>
  </si>
  <si>
    <t>東京都中央区銀座５－１５－８</t>
  </si>
  <si>
    <t>民211</t>
    <rPh sb="0" eb="1">
      <t>ミン</t>
    </rPh>
    <phoneticPr fontId="2"/>
  </si>
  <si>
    <t>⑥アD稼働</t>
    <rPh sb="3" eb="5">
      <t>カドウ</t>
    </rPh>
    <phoneticPr fontId="34"/>
  </si>
  <si>
    <t>22W142</t>
  </si>
  <si>
    <t>儀</t>
  </si>
  <si>
    <t>04-90</t>
  </si>
  <si>
    <t>「外国公館等情報システムの運用支援」業務委嘱</t>
    <rPh sb="20" eb="22">
      <t>イショク</t>
    </rPh>
    <phoneticPr fontId="4"/>
  </si>
  <si>
    <t>現在稼働中のシステムの運用支援・保守業務を同システムの開発業者である契約の相手方に委嘱するものであり，通信に障害を及ぼすことなく安定運用を確実に遂行しうる者は他になく，他に競争を許さないため（会計法第29条の3第4項）。</t>
  </si>
  <si>
    <t>平成17年度、一般競争入札にて機器導入</t>
    <rPh sb="0" eb="2">
      <t>ヘイセイ</t>
    </rPh>
    <rPh sb="4" eb="6">
      <t>ネンド</t>
    </rPh>
    <rPh sb="7" eb="9">
      <t>イッパン</t>
    </rPh>
    <rPh sb="9" eb="11">
      <t>キョウソウ</t>
    </rPh>
    <rPh sb="11" eb="13">
      <t>ニュウサツ</t>
    </rPh>
    <rPh sb="15" eb="17">
      <t>キキ</t>
    </rPh>
    <rPh sb="17" eb="19">
      <t>ドウニュウ</t>
    </rPh>
    <phoneticPr fontId="34"/>
  </si>
  <si>
    <t>②アAﾆ(ﾍ)</t>
  </si>
  <si>
    <t>22W095</t>
  </si>
  <si>
    <t>②ア</t>
    <phoneticPr fontId="4"/>
  </si>
  <si>
    <t>②</t>
  </si>
  <si>
    <t>04-91</t>
  </si>
  <si>
    <t>「ＵＰＩ通信テレタイプニュース」受信契約</t>
    <rPh sb="16" eb="18">
      <t>ジュシン</t>
    </rPh>
    <phoneticPr fontId="40"/>
  </si>
  <si>
    <t>一般財団法人共同通信社</t>
  </si>
  <si>
    <t>東京都港区東新橋１－７－１</t>
  </si>
  <si>
    <t>②ア0</t>
  </si>
  <si>
    <t>民220</t>
    <rPh sb="0" eb="1">
      <t>ミン</t>
    </rPh>
    <phoneticPr fontId="2"/>
  </si>
  <si>
    <t>22P267</t>
  </si>
  <si>
    <t>04-92</t>
  </si>
  <si>
    <t>「高速電子印刷システム一式保守」業務委嘱</t>
    <rPh sb="16" eb="18">
      <t>ギョウム</t>
    </rPh>
    <rPh sb="18" eb="20">
      <t>イショク</t>
    </rPh>
    <phoneticPr fontId="4"/>
  </si>
  <si>
    <t>キャノンマーケティングジャパン株式会社</t>
  </si>
  <si>
    <t>東京都港区港南２－１６－６</t>
  </si>
  <si>
    <t>22Z091</t>
  </si>
  <si>
    <t>04-93</t>
  </si>
  <si>
    <t>「本省における在外ＬＡＮ用サーバ機器」賃貸借保守</t>
  </si>
  <si>
    <t>①エヌエスリース株式会社
②新日鉄ソリューションズ株式会社</t>
  </si>
  <si>
    <t>①東京都千代田区有楽町１－７－１
②東京都中央区新川２－２０－１５</t>
  </si>
  <si>
    <t>22W185</t>
  </si>
  <si>
    <t>亜北</t>
  </si>
  <si>
    <t>04-94</t>
  </si>
  <si>
    <t>「朝鮮通信社ニュース配信」受信契約</t>
  </si>
  <si>
    <t>株式会社朝鮮通信社</t>
  </si>
  <si>
    <t>東京都文京区白山４－３３－１４</t>
  </si>
  <si>
    <t>民3</t>
    <rPh sb="0" eb="1">
      <t>ミン</t>
    </rPh>
    <phoneticPr fontId="2"/>
  </si>
  <si>
    <t>D</t>
    <phoneticPr fontId="2"/>
  </si>
  <si>
    <t>×</t>
    <phoneticPr fontId="2"/>
  </si>
  <si>
    <t>22Z042</t>
  </si>
  <si>
    <t>⑥ア</t>
    <phoneticPr fontId="4"/>
  </si>
  <si>
    <t>04-95</t>
  </si>
  <si>
    <t>「在外経理サーバネットワーク接続システム保守」業務委嘱</t>
  </si>
  <si>
    <t>20年度は秘契約</t>
    <rPh sb="2" eb="4">
      <t>ネンド</t>
    </rPh>
    <rPh sb="5" eb="6">
      <t>ヒ</t>
    </rPh>
    <rPh sb="6" eb="8">
      <t>ケイヤク</t>
    </rPh>
    <phoneticPr fontId="34"/>
  </si>
  <si>
    <t>⑥アD通達</t>
    <rPh sb="3" eb="5">
      <t>ツウタツ</t>
    </rPh>
    <phoneticPr fontId="4"/>
  </si>
  <si>
    <t>22W109</t>
  </si>
  <si>
    <t>情報４</t>
  </si>
  <si>
    <t>04-96</t>
  </si>
  <si>
    <t>「ＥＩＵカントリーレポート情報提供サービス」利用契約</t>
  </si>
  <si>
    <t>レイデンリサーチ株式会社</t>
  </si>
  <si>
    <t>東京都千代田区有楽町１－７－１</t>
  </si>
  <si>
    <t>本契約の相手方は，当該サービス提供元より本邦における唯一の代理店に指定されており，他に競争を許さないため。(会計法第29条の3第4項)</t>
  </si>
  <si>
    <t>22G150</t>
  </si>
  <si>
    <t>①ア（企画）</t>
    <phoneticPr fontId="4"/>
  </si>
  <si>
    <t>04-97</t>
  </si>
  <si>
    <t>「ロシア月報原稿作成」業務委嘱</t>
  </si>
  <si>
    <t>法28</t>
    <rPh sb="0" eb="1">
      <t>ホウ</t>
    </rPh>
    <phoneticPr fontId="2"/>
  </si>
  <si>
    <t>◎</t>
    <phoneticPr fontId="2"/>
  </si>
  <si>
    <t>22W097</t>
  </si>
  <si>
    <t>04-98</t>
  </si>
  <si>
    <t>「ファクティバ・ドットコム」利用契約</t>
  </si>
  <si>
    <t>ダウ・ジョーンズ　ジャパン株式会社</t>
  </si>
  <si>
    <t>東京都千代田区大手町１－５－１</t>
  </si>
  <si>
    <t>民222</t>
    <rPh sb="0" eb="1">
      <t>ミン</t>
    </rPh>
    <phoneticPr fontId="2"/>
  </si>
  <si>
    <t>22G076</t>
  </si>
  <si>
    <t>04-99</t>
  </si>
  <si>
    <t>「外務省巡回医師団派遣」業務委嘱</t>
    <rPh sb="12" eb="14">
      <t>ギョウム</t>
    </rPh>
    <rPh sb="14" eb="16">
      <t>イショク</t>
    </rPh>
    <phoneticPr fontId="4"/>
  </si>
  <si>
    <t>財団法人海外邦人医療基金</t>
  </si>
  <si>
    <t>東京都港区虎ノ門１－１９－９</t>
  </si>
  <si>
    <t>法39</t>
    <rPh sb="0" eb="1">
      <t>ホウ</t>
    </rPh>
    <phoneticPr fontId="2"/>
  </si>
  <si>
    <t>22G008</t>
  </si>
  <si>
    <t>外研</t>
  </si>
  <si>
    <t>04-100</t>
  </si>
  <si>
    <t>「新入省員実務英語集中研修」実施委嘱</t>
  </si>
  <si>
    <t>株式会社インターグループ</t>
  </si>
  <si>
    <t>大阪府大阪市北区豊崎３－２０－１</t>
  </si>
  <si>
    <t>民293</t>
    <rPh sb="0" eb="1">
      <t>ミン</t>
    </rPh>
    <phoneticPr fontId="2"/>
  </si>
  <si>
    <t>×
移行済み
(18年度）</t>
    <rPh sb="2" eb="4">
      <t>イコウ</t>
    </rPh>
    <rPh sb="4" eb="5">
      <t>ズ</t>
    </rPh>
    <rPh sb="10" eb="12">
      <t>ネンド</t>
    </rPh>
    <phoneticPr fontId="34"/>
  </si>
  <si>
    <t>22G007</t>
  </si>
  <si>
    <t>04-101</t>
  </si>
  <si>
    <t>「非英語研修中堅職員英語研修」実施委嘱</t>
  </si>
  <si>
    <t>株式会社アヴァンティスタッフ</t>
  </si>
  <si>
    <t>東京都千代田区大手町２－２－１</t>
  </si>
  <si>
    <t>民311</t>
    <rPh sb="0" eb="1">
      <t>ミン</t>
    </rPh>
    <phoneticPr fontId="2"/>
  </si>
  <si>
    <t>04-102</t>
  </si>
  <si>
    <t>「ＢＢＣ放送」受信契約</t>
  </si>
  <si>
    <t>ＢＢＣワールドジャパン株式会社</t>
    <rPh sb="11" eb="15">
      <t>カブシキガイシャ</t>
    </rPh>
    <phoneticPr fontId="4"/>
  </si>
  <si>
    <t>東京都港区赤坂４－９－１７</t>
    <rPh sb="0" eb="3">
      <t>トウキョウト</t>
    </rPh>
    <phoneticPr fontId="4"/>
  </si>
  <si>
    <t>民167</t>
    <rPh sb="0" eb="1">
      <t>ミン</t>
    </rPh>
    <phoneticPr fontId="2"/>
  </si>
  <si>
    <t>22M104</t>
  </si>
  <si>
    <t>04-103</t>
  </si>
  <si>
    <t>「障害及び要望対応機器一式」賃貸借保守</t>
  </si>
  <si>
    <t>①日本電子計算機株式会社
②東芝ソリューション株式会社</t>
  </si>
  <si>
    <t>①東京都千代田区丸の内３－４－１
②東京都港区芝浦１－１－１</t>
  </si>
  <si>
    <t>平成17年10月28日付け入札公告にて、平成22年2月5日まで契約の旨公表済み</t>
  </si>
  <si>
    <r>
      <t xml:space="preserve">04-104 </t>
    </r>
    <r>
      <rPr>
        <sz val="9"/>
        <color rgb="FFFF0000"/>
        <rFont val="ＭＳ Ｐゴシック"/>
        <family val="3"/>
        <charset val="128"/>
        <scheme val="minor"/>
      </rPr>
      <t>５３件</t>
    </r>
    <rPh sb="9" eb="10">
      <t>ケン</t>
    </rPh>
    <phoneticPr fontId="2"/>
  </si>
  <si>
    <t>「国・公賓等訪日接遇（歓迎行事式典準備及び国旗等保管管理）」業務委嘱</t>
    <rPh sb="6" eb="8">
      <t>ホウニチ</t>
    </rPh>
    <rPh sb="8" eb="10">
      <t>セツグウ</t>
    </rPh>
    <rPh sb="11" eb="13">
      <t>カンゲイ</t>
    </rPh>
    <rPh sb="13" eb="15">
      <t>ギョウジ</t>
    </rPh>
    <rPh sb="15" eb="17">
      <t>シキテン</t>
    </rPh>
    <rPh sb="17" eb="19">
      <t>ジュンビ</t>
    </rPh>
    <rPh sb="19" eb="20">
      <t>オヨ</t>
    </rPh>
    <rPh sb="21" eb="23">
      <t>コッキ</t>
    </rPh>
    <rPh sb="23" eb="24">
      <t>トウ</t>
    </rPh>
    <rPh sb="24" eb="26">
      <t>ホカン</t>
    </rPh>
    <rPh sb="26" eb="28">
      <t>カンリ</t>
    </rPh>
    <rPh sb="30" eb="32">
      <t>ギョウム</t>
    </rPh>
    <rPh sb="32" eb="34">
      <t>イショク</t>
    </rPh>
    <phoneticPr fontId="4"/>
  </si>
  <si>
    <t>株式会社アテナ</t>
  </si>
  <si>
    <t>東京都江戸川区臨海町５－２－２</t>
  </si>
  <si>
    <t>①         －   　　　　
②3,024,000</t>
  </si>
  <si>
    <t>①式典準備(単価契約）
②保管管理</t>
    <rPh sb="1" eb="3">
      <t>シキテン</t>
    </rPh>
    <rPh sb="3" eb="5">
      <t>ジュンビ</t>
    </rPh>
    <rPh sb="6" eb="8">
      <t>タンカ</t>
    </rPh>
    <rPh sb="8" eb="10">
      <t>ケイヤク</t>
    </rPh>
    <rPh sb="13" eb="14">
      <t>ホ</t>
    </rPh>
    <rPh sb="15" eb="17">
      <t>カンリ</t>
    </rPh>
    <phoneticPr fontId="2"/>
  </si>
  <si>
    <t>民349</t>
    <rPh sb="0" eb="1">
      <t>ミン</t>
    </rPh>
    <phoneticPr fontId="2"/>
  </si>
  <si>
    <t>22G075</t>
  </si>
  <si>
    <t>04-105</t>
  </si>
  <si>
    <t>「外交関係報道調査分析（週刊・月刊雑誌等論調分析）」業務委嘱</t>
  </si>
  <si>
    <t>株式会社ジャパンエコー社</t>
  </si>
  <si>
    <t>東京都千代田区内幸町２－２－１</t>
  </si>
  <si>
    <t>22P553</t>
  </si>
  <si>
    <t>04-106</t>
  </si>
  <si>
    <t>「成田国際空港フライト情報」利用契約</t>
  </si>
  <si>
    <t>法11</t>
    <rPh sb="0" eb="1">
      <t>ホウ</t>
    </rPh>
    <phoneticPr fontId="2"/>
  </si>
  <si>
    <t>22M027</t>
  </si>
  <si>
    <t>04-107</t>
  </si>
  <si>
    <t>「全省共通プラットフォーム機器等（平成１８年度調達分）」賃貸借保守</t>
  </si>
  <si>
    <t>①ＮＥＣキャピタルソリューション株式会社
②日本電気株式会社</t>
  </si>
  <si>
    <t>①東京都港区芝５－２９－１１
②東京都港区芝５－７－１</t>
  </si>
  <si>
    <t>平成18年度調達分(一般競争）</t>
    <rPh sb="0" eb="2">
      <t>ヘイセイ</t>
    </rPh>
    <rPh sb="4" eb="6">
      <t>ネンド</t>
    </rPh>
    <rPh sb="6" eb="8">
      <t>チョウタツ</t>
    </rPh>
    <rPh sb="8" eb="9">
      <t>ブン</t>
    </rPh>
    <rPh sb="10" eb="12">
      <t>イッパン</t>
    </rPh>
    <rPh sb="12" eb="14">
      <t>キョウソウ</t>
    </rPh>
    <phoneticPr fontId="34"/>
  </si>
  <si>
    <t>22M025</t>
  </si>
  <si>
    <t>04-108</t>
  </si>
  <si>
    <t>「文書作成編集システム用データベースサーバ」賃貸借保守</t>
    <rPh sb="11" eb="12">
      <t>ヨウ</t>
    </rPh>
    <phoneticPr fontId="4"/>
  </si>
  <si>
    <t>20年度一般競争入札で選定</t>
    <rPh sb="2" eb="4">
      <t>ネンド</t>
    </rPh>
    <rPh sb="4" eb="6">
      <t>イッパン</t>
    </rPh>
    <rPh sb="6" eb="8">
      <t>キョウソウ</t>
    </rPh>
    <rPh sb="8" eb="10">
      <t>ニュウサツ</t>
    </rPh>
    <rPh sb="11" eb="13">
      <t>センテイ</t>
    </rPh>
    <phoneticPr fontId="34"/>
  </si>
  <si>
    <t>22M021</t>
  </si>
  <si>
    <t>04-109</t>
  </si>
  <si>
    <t>「ＩＣ旅券用認証システム運用支援」業務委嘱</t>
  </si>
  <si>
    <t>平成17年度、一般競争入札にて機器導入。
18年度より運用支援業務委嘱(随契）</t>
    <rPh sb="0" eb="2">
      <t>ヘイセイ</t>
    </rPh>
    <rPh sb="4" eb="6">
      <t>ネンド</t>
    </rPh>
    <rPh sb="23" eb="25">
      <t>ネンド</t>
    </rPh>
    <rPh sb="27" eb="29">
      <t>ウンヨウ</t>
    </rPh>
    <rPh sb="29" eb="31">
      <t>シエン</t>
    </rPh>
    <rPh sb="31" eb="33">
      <t>ギョウム</t>
    </rPh>
    <rPh sb="33" eb="35">
      <t>イショク</t>
    </rPh>
    <rPh sb="36" eb="38">
      <t>ズイケイ</t>
    </rPh>
    <phoneticPr fontId="34"/>
  </si>
  <si>
    <t>22P160</t>
  </si>
  <si>
    <t>04-110</t>
  </si>
  <si>
    <t>「オフセット印刷機」賃貸借保守</t>
  </si>
  <si>
    <t>ＮＥＣキャピタルソリューション株式会社</t>
    <rPh sb="15" eb="17">
      <t>カブシキ</t>
    </rPh>
    <rPh sb="17" eb="19">
      <t>カイシャ</t>
    </rPh>
    <phoneticPr fontId="4"/>
  </si>
  <si>
    <t>東京都港区芝５－２９－１１</t>
  </si>
  <si>
    <t>⑥アD通達</t>
    <rPh sb="3" eb="5">
      <t>ツウタツ</t>
    </rPh>
    <phoneticPr fontId="34"/>
  </si>
  <si>
    <t>22P083</t>
  </si>
  <si>
    <t>04-111</t>
  </si>
  <si>
    <t>「国会審議テレビ中継放送」受信契約</t>
  </si>
  <si>
    <t>ＫＤＤＩ株式会社</t>
    <rPh sb="4" eb="8">
      <t>カブシキガイシャ</t>
    </rPh>
    <phoneticPr fontId="4"/>
  </si>
  <si>
    <t>東京都新宿区西新宿２－３－２</t>
    <rPh sb="0" eb="3">
      <t>トウキョウト</t>
    </rPh>
    <rPh sb="3" eb="6">
      <t>シンジュクク</t>
    </rPh>
    <rPh sb="6" eb="9">
      <t>ニシシンジュク</t>
    </rPh>
    <phoneticPr fontId="4"/>
  </si>
  <si>
    <t>本契約の相手方と国会事務局との間で一括契約しているもので，各省庁は衆参両院からの通知に基づき分割負担することとなっているところ，本件配信サービスの提供が可能な業者は，本契約の相手方の他になく，他に競争を許さないため。(会計法第29条の3第4項)</t>
  </si>
  <si>
    <t>22M031</t>
  </si>
  <si>
    <t>04-112</t>
  </si>
  <si>
    <t>「旅券ネットワーク設定変更」業務委嘱</t>
  </si>
  <si>
    <t>ＮＥＣフィールディング株式会社</t>
  </si>
  <si>
    <t>東京都千代田区猿楽町２－７－８</t>
  </si>
  <si>
    <t>現在稼働中のシステムの改修業務を同システムの開発業者である契約の相手方に委嘱するものであり，通信に障害を及ぼすことなく安定運用を確実に遂行しうる者はなく，他に競争を許さないため（会計法第29条の3第4項）。</t>
  </si>
  <si>
    <t>22M084　22W045</t>
  </si>
  <si>
    <t>04-113</t>
  </si>
  <si>
    <t>「ページレイアウトシステム」賃貸借保守</t>
  </si>
  <si>
    <t>①日本電子計算機株式会社
②キャノンマーケティングジャパン株式会社</t>
  </si>
  <si>
    <t>①東京都千代田区丸の内３－４－１
②東京都港区港南２－１６－６</t>
  </si>
  <si>
    <t>20年度、一般競争入札で業者選定</t>
    <rPh sb="2" eb="4">
      <t>ネンド</t>
    </rPh>
    <rPh sb="5" eb="7">
      <t>イッパン</t>
    </rPh>
    <rPh sb="7" eb="9">
      <t>キョウソウ</t>
    </rPh>
    <rPh sb="9" eb="11">
      <t>ニュウサツ</t>
    </rPh>
    <rPh sb="12" eb="14">
      <t>ギョウシャ</t>
    </rPh>
    <rPh sb="14" eb="16">
      <t>センテイ</t>
    </rPh>
    <phoneticPr fontId="34"/>
  </si>
  <si>
    <t>22Z032</t>
  </si>
  <si>
    <t>04-114</t>
  </si>
  <si>
    <t>「沖縄担当大使宿舎」賃貸借契約</t>
  </si>
  <si>
    <t>株式会社オクト</t>
  </si>
  <si>
    <t>沖縄県那覇市松山２－８－１７</t>
  </si>
  <si>
    <t>契約目的，行政効率等を勘案した結果，契約物件に代替可能な物件は見あたらず，他に競争を許さないため。(会計法第29条の3第4項)</t>
  </si>
  <si>
    <t>民243</t>
    <rPh sb="0" eb="1">
      <t>ミン</t>
    </rPh>
    <phoneticPr fontId="2"/>
  </si>
  <si>
    <t>22Z019</t>
  </si>
  <si>
    <t>04-115</t>
  </si>
  <si>
    <t>「ＯＡラック等」賃貸借契約</t>
    <rPh sb="11" eb="13">
      <t>ケイヤク</t>
    </rPh>
    <phoneticPr fontId="4"/>
  </si>
  <si>
    <t>①昭和リース株式会社
②新日鉄ソリューションズ株式会社</t>
  </si>
  <si>
    <t>①東京都新宿区四谷３－１２
②東京都中央区新川２－２０－１５</t>
  </si>
  <si>
    <t>22W048</t>
  </si>
  <si>
    <t>04-116</t>
  </si>
  <si>
    <t>「出退情報表示システム保守」業務委嘱</t>
  </si>
  <si>
    <t>現在稼働中のシステムの保守業務を同システムの構築業者である契約の相手方に委嘱するものであり，通信に障害を及ぼすことなく安定運用を確実に遂行しうる者は他になく，他に競争を許さないため。（会計法第29条の3第4項）</t>
  </si>
  <si>
    <t>平成18年度より随契</t>
    <rPh sb="0" eb="2">
      <t>ヘイセイ</t>
    </rPh>
    <rPh sb="4" eb="6">
      <t>ネンド</t>
    </rPh>
    <rPh sb="8" eb="10">
      <t>ズイケイ</t>
    </rPh>
    <phoneticPr fontId="34"/>
  </si>
  <si>
    <t>22W211</t>
  </si>
  <si>
    <t>国協企</t>
  </si>
  <si>
    <t>04-117</t>
  </si>
  <si>
    <t>「国際協力局業務システム・ソフトウェア保守」業務委嘱</t>
  </si>
  <si>
    <t xml:space="preserve">株式会社日立製作所 </t>
  </si>
  <si>
    <t>20年度新規(少額随契）</t>
    <rPh sb="2" eb="4">
      <t>ネンド</t>
    </rPh>
    <rPh sb="4" eb="6">
      <t>シンキ</t>
    </rPh>
    <rPh sb="7" eb="9">
      <t>ショウガク</t>
    </rPh>
    <rPh sb="9" eb="11">
      <t>ズイケイ</t>
    </rPh>
    <phoneticPr fontId="34"/>
  </si>
  <si>
    <t>22W043</t>
  </si>
  <si>
    <t>04-118</t>
  </si>
  <si>
    <t>「外務省記録文書ファイル管理システム保守」業務委嘱</t>
    <rPh sb="1" eb="4">
      <t>ガイムショウ</t>
    </rPh>
    <rPh sb="4" eb="6">
      <t>キロク</t>
    </rPh>
    <rPh sb="6" eb="8">
      <t>ブンショ</t>
    </rPh>
    <rPh sb="12" eb="14">
      <t>カンリ</t>
    </rPh>
    <rPh sb="18" eb="20">
      <t>ホシュ</t>
    </rPh>
    <rPh sb="21" eb="23">
      <t>ギョウム</t>
    </rPh>
    <rPh sb="23" eb="25">
      <t>イショク</t>
    </rPh>
    <phoneticPr fontId="4"/>
  </si>
  <si>
    <t>22M049
22M050</t>
  </si>
  <si>
    <t>04-119</t>
  </si>
  <si>
    <t>22W108</t>
  </si>
  <si>
    <t>04-120</t>
  </si>
  <si>
    <t>「Ｌｅｘｉｓ　Ｎｅｘｉｓオンライン情報サービス」利用契約</t>
  </si>
  <si>
    <t>レクシスネクシス・ジャパン株式会社</t>
  </si>
  <si>
    <t>東京都世田谷区太子堂４－１－１</t>
  </si>
  <si>
    <t>民180</t>
    <rPh sb="0" eb="1">
      <t>ミン</t>
    </rPh>
    <phoneticPr fontId="2"/>
  </si>
  <si>
    <t>22W228</t>
  </si>
  <si>
    <t>ア１</t>
  </si>
  <si>
    <t>04-121</t>
  </si>
  <si>
    <t>「ＥＩＵカントリーレポート情報提供サービス」及び「Ｃｏｕｎｔｒｙ　Ｆｏｒｅｃａｓｔ　Ｒｅｇｉｏｎａｌ　Ｏｖｅｒｖｉｅｗ」利用契約</t>
  </si>
  <si>
    <t>レイデンリサーチ株式会社</t>
    <rPh sb="8" eb="12">
      <t>カブシキガイシャ</t>
    </rPh>
    <phoneticPr fontId="4"/>
  </si>
  <si>
    <t xml:space="preserve">東京都千代田区有楽町１－７－１ </t>
  </si>
  <si>
    <t>民1</t>
    <rPh sb="0" eb="1">
      <t>ミン</t>
    </rPh>
    <phoneticPr fontId="2"/>
  </si>
  <si>
    <t>22W123</t>
  </si>
  <si>
    <t>法条</t>
  </si>
  <si>
    <t>04-122</t>
  </si>
  <si>
    <t>「条約等国際約束検索システム保守」業務委嘱</t>
    <rPh sb="19" eb="21">
      <t>イショク</t>
    </rPh>
    <phoneticPr fontId="4"/>
  </si>
  <si>
    <t>アクシオへリックス株式会社</t>
  </si>
  <si>
    <t>沖縄県那覇市小緑１８３１－１</t>
  </si>
  <si>
    <t>現在稼働中のシステムの保守業務を同システムの開発業者である契約の相手方に委嘱するものであり，通信に障害を及ぼすことな安定運用を確実に遂行しうる者は他になく，他に競争を許さないため（会計法第29条の3第4項）。</t>
  </si>
  <si>
    <t>20年度一般競争で
●システム導入
（案件番号2001667)
●アプリケーション開発・データ移行作業
(案件番号2002155)</t>
    <rPh sb="2" eb="4">
      <t>ネンド</t>
    </rPh>
    <rPh sb="4" eb="6">
      <t>イッパン</t>
    </rPh>
    <rPh sb="6" eb="8">
      <t>キョウソウ</t>
    </rPh>
    <rPh sb="15" eb="17">
      <t>ドウニュウ</t>
    </rPh>
    <rPh sb="19" eb="21">
      <t>アンケン</t>
    </rPh>
    <rPh sb="21" eb="23">
      <t>バンゴウ</t>
    </rPh>
    <rPh sb="41" eb="43">
      <t>カイハツ</t>
    </rPh>
    <rPh sb="47" eb="49">
      <t>イコウ</t>
    </rPh>
    <rPh sb="49" eb="51">
      <t>サギョウ</t>
    </rPh>
    <rPh sb="53" eb="55">
      <t>アンケン</t>
    </rPh>
    <rPh sb="55" eb="57">
      <t>バンゴウ</t>
    </rPh>
    <phoneticPr fontId="34"/>
  </si>
  <si>
    <t>×競争あり（21年度～）</t>
    <rPh sb="1" eb="3">
      <t>キョウソウ</t>
    </rPh>
    <rPh sb="8" eb="10">
      <t>ネンド</t>
    </rPh>
    <phoneticPr fontId="2"/>
  </si>
  <si>
    <t>22G010</t>
  </si>
  <si>
    <t>報内</t>
  </si>
  <si>
    <t>04-123</t>
  </si>
  <si>
    <t>「外務省ホームページ（日本語版）コンテンツ『わかる！国際情勢』企画・制作」業務委嘱</t>
    <rPh sb="37" eb="39">
      <t>ギョウム</t>
    </rPh>
    <rPh sb="39" eb="41">
      <t>イショク</t>
    </rPh>
    <phoneticPr fontId="4"/>
  </si>
  <si>
    <t>株式会社ストーム</t>
  </si>
  <si>
    <t>東京都千代田区東神田２－１０－１７</t>
  </si>
  <si>
    <t>22M071</t>
  </si>
  <si>
    <t>04-124</t>
  </si>
  <si>
    <t>「ＩＣＡＯ　ＰＫＤ登録システム保守」業務委嘱</t>
    <rPh sb="18" eb="20">
      <t>ギョウム</t>
    </rPh>
    <rPh sb="20" eb="22">
      <t>イショク</t>
    </rPh>
    <phoneticPr fontId="4"/>
  </si>
  <si>
    <t>一般競争入札によりシステムの開発業者を選定したものであるが，本保守業務についても，その競争条件としており，他に競争を許さないため（会計法第29条の3第4項）。</t>
  </si>
  <si>
    <t>19年度一般競争にて開発・導入のための業者選定。
20年度より保守業務随契</t>
    <rPh sb="2" eb="4">
      <t>ネンド</t>
    </rPh>
    <rPh sb="4" eb="6">
      <t>イッパン</t>
    </rPh>
    <rPh sb="6" eb="8">
      <t>キョウソウ</t>
    </rPh>
    <rPh sb="10" eb="12">
      <t>カイハツ</t>
    </rPh>
    <rPh sb="13" eb="15">
      <t>ドウニュウ</t>
    </rPh>
    <rPh sb="19" eb="21">
      <t>ギョウシャ</t>
    </rPh>
    <rPh sb="21" eb="23">
      <t>センテイ</t>
    </rPh>
    <rPh sb="27" eb="29">
      <t>ネンド</t>
    </rPh>
    <rPh sb="31" eb="33">
      <t>ホシュ</t>
    </rPh>
    <rPh sb="33" eb="35">
      <t>ギョウム</t>
    </rPh>
    <rPh sb="35" eb="37">
      <t>ズイケイ</t>
    </rPh>
    <phoneticPr fontId="34"/>
  </si>
  <si>
    <t>04-125</t>
  </si>
  <si>
    <t>「沖縄事務所夜間警備」業務委嘱</t>
    <rPh sb="11" eb="13">
      <t>ギョウム</t>
    </rPh>
    <rPh sb="13" eb="15">
      <t>イショク</t>
    </rPh>
    <phoneticPr fontId="4"/>
  </si>
  <si>
    <t>沖縄綜合警備保障株式会社</t>
  </si>
  <si>
    <t>沖縄県宜野湾市大山７－１１－１０</t>
  </si>
  <si>
    <t>本件サービスの提供が可能な業者は，本案件の相手方の他になく，他に競争を許さないため。（会計法第29条の3第4項）</t>
  </si>
  <si>
    <t>民241</t>
    <rPh sb="0" eb="1">
      <t>ミン</t>
    </rPh>
    <phoneticPr fontId="2"/>
  </si>
  <si>
    <t>22W075</t>
  </si>
  <si>
    <t>04-126</t>
  </si>
  <si>
    <t>「本省電信システム増強ハードウェア等一式保守」業務委嘱</t>
    <rPh sb="23" eb="25">
      <t>ギョウム</t>
    </rPh>
    <rPh sb="25" eb="27">
      <t>イショク</t>
    </rPh>
    <phoneticPr fontId="4"/>
  </si>
  <si>
    <t>現在稼働中のシステムの保守業務を同システムの開発業者である契約の相手方に委嘱するものであり，費用面及び通信に障害を及ぼすことなく安定運用を確実に遂行しうる者は他になく，他に競争を許さないため（会計法第29条の3第4項）。</t>
  </si>
  <si>
    <t>22M026</t>
  </si>
  <si>
    <t>04-127</t>
  </si>
  <si>
    <t>「共通プラットフォーム関連機器一式」賃貸借保守</t>
  </si>
  <si>
    <t>①日本電子計算機株式会社
②日本電気株式会社</t>
  </si>
  <si>
    <t>①東京都千代田区丸の内３－４－１
②東京都港区芝５－７－１</t>
  </si>
  <si>
    <t>18、19、20年度の3年度にわたり、競争入札にて導入</t>
    <rPh sb="8" eb="10">
      <t>ネンド</t>
    </rPh>
    <rPh sb="12" eb="14">
      <t>ネンド</t>
    </rPh>
    <rPh sb="19" eb="21">
      <t>キョウソウ</t>
    </rPh>
    <rPh sb="21" eb="23">
      <t>ニュウサツ</t>
    </rPh>
    <rPh sb="25" eb="27">
      <t>ドウニュウ</t>
    </rPh>
    <phoneticPr fontId="34"/>
  </si>
  <si>
    <t>22W085</t>
  </si>
  <si>
    <t>04-128</t>
  </si>
  <si>
    <t>「人事計画用情報管理機器一式」賃貸借保守</t>
  </si>
  <si>
    <t>(H21.1.26回答）
平成21年度中に新システムへの移行を検討し、平成22年度に一般競争入札または企画競争を実施する予定。</t>
    <rPh sb="9" eb="11">
      <t>カイトウ</t>
    </rPh>
    <phoneticPr fontId="34"/>
  </si>
  <si>
    <t>民190</t>
    <rPh sb="0" eb="1">
      <t>ミン</t>
    </rPh>
    <phoneticPr fontId="2"/>
  </si>
  <si>
    <t>22G101</t>
  </si>
  <si>
    <t>04-129</t>
  </si>
  <si>
    <t>「北方領土情報資料作成」業務委嘱</t>
  </si>
  <si>
    <t>法29</t>
    <rPh sb="0" eb="1">
      <t>ホウ</t>
    </rPh>
    <phoneticPr fontId="2"/>
  </si>
  <si>
    <t>22G097</t>
  </si>
  <si>
    <t>②ア（企画）</t>
    <phoneticPr fontId="4"/>
  </si>
  <si>
    <t>04-130</t>
  </si>
  <si>
    <t>「外交関係報道調査分析（新聞論調分析）」業務委嘱</t>
  </si>
  <si>
    <t>一般社団法人共同通信社</t>
  </si>
  <si>
    <t>②ア（企画）1</t>
  </si>
  <si>
    <t>22W096</t>
  </si>
  <si>
    <t>04-131</t>
  </si>
  <si>
    <t>「ロイター通信ニュース」受信契約</t>
    <rPh sb="14" eb="16">
      <t>ケイヤク</t>
    </rPh>
    <phoneticPr fontId="4"/>
  </si>
  <si>
    <t>トムソン・ロイターマーケッツ株式会社</t>
  </si>
  <si>
    <t>東京都港区赤坂５－３－１</t>
  </si>
  <si>
    <t>20年度まで少額随契</t>
    <rPh sb="2" eb="4">
      <t>ネンド</t>
    </rPh>
    <rPh sb="6" eb="8">
      <t>ショウガク</t>
    </rPh>
    <rPh sb="8" eb="10">
      <t>ズイケイ</t>
    </rPh>
    <phoneticPr fontId="34"/>
  </si>
  <si>
    <t>22W136</t>
  </si>
  <si>
    <t>04-132</t>
  </si>
  <si>
    <t>「外務省学習管理システム保守」業務委嘱</t>
    <rPh sb="15" eb="17">
      <t>ギョウム</t>
    </rPh>
    <rPh sb="17" eb="19">
      <t>イショク</t>
    </rPh>
    <phoneticPr fontId="4"/>
  </si>
  <si>
    <t>⑥アD一定</t>
    <rPh sb="3" eb="5">
      <t>イッテイ</t>
    </rPh>
    <phoneticPr fontId="34"/>
  </si>
  <si>
    <t>22M028</t>
  </si>
  <si>
    <t>04-133</t>
  </si>
  <si>
    <t>「全省共通プラットフォーム機器等（平成１７年度調達分）」賃貸借保守</t>
  </si>
  <si>
    <t>①ＮＥＣキャピタルソリューション株式会社
②日本電気株式会社</t>
    <rPh sb="16" eb="20">
      <t>カブシキガイシャ</t>
    </rPh>
    <phoneticPr fontId="24"/>
  </si>
  <si>
    <t>①東京都港区芝５－２９－１
②東京都港区芝５－７－１</t>
  </si>
  <si>
    <t>22M101</t>
  </si>
  <si>
    <t>国協政</t>
  </si>
  <si>
    <t>04-134</t>
  </si>
  <si>
    <t>「関係府省庁技術協力データベース用サーバ機器一式」賃貸借保守</t>
  </si>
  <si>
    <t>①東京都江東区市東雲１－７－１２
②東京都中央区新川１－２０－１５</t>
  </si>
  <si>
    <t>20年度一般競争入札で賃貸借契約相手選定</t>
    <rPh sb="2" eb="4">
      <t>ネンド</t>
    </rPh>
    <rPh sb="4" eb="6">
      <t>イッパン</t>
    </rPh>
    <rPh sb="6" eb="8">
      <t>キョウソウ</t>
    </rPh>
    <rPh sb="8" eb="10">
      <t>ニュウサツ</t>
    </rPh>
    <rPh sb="11" eb="14">
      <t>チンタイシャク</t>
    </rPh>
    <rPh sb="14" eb="16">
      <t>ケイヤク</t>
    </rPh>
    <rPh sb="16" eb="18">
      <t>アイテ</t>
    </rPh>
    <rPh sb="18" eb="20">
      <t>センテイ</t>
    </rPh>
    <phoneticPr fontId="34"/>
  </si>
  <si>
    <t>04-135</t>
  </si>
  <si>
    <t>「在外公館向け新聞・雑誌等定期刊行物の購入・発送」業務委嘱</t>
    <rPh sb="1" eb="3">
      <t>ザイガイ</t>
    </rPh>
    <rPh sb="3" eb="5">
      <t>コウカン</t>
    </rPh>
    <rPh sb="5" eb="6">
      <t>ム</t>
    </rPh>
    <rPh sb="7" eb="9">
      <t>シンブン</t>
    </rPh>
    <rPh sb="10" eb="12">
      <t>ザッシ</t>
    </rPh>
    <rPh sb="12" eb="13">
      <t>トウ</t>
    </rPh>
    <rPh sb="13" eb="15">
      <t>テイキ</t>
    </rPh>
    <rPh sb="15" eb="18">
      <t>カンコウブツ</t>
    </rPh>
    <rPh sb="19" eb="21">
      <t>コウニュウ</t>
    </rPh>
    <rPh sb="22" eb="24">
      <t>ハッソウ</t>
    </rPh>
    <rPh sb="25" eb="27">
      <t>ギョウム</t>
    </rPh>
    <rPh sb="27" eb="29">
      <t>イショク</t>
    </rPh>
    <phoneticPr fontId="4"/>
  </si>
  <si>
    <t>海外新聞普及株式会社</t>
    <rPh sb="0" eb="2">
      <t>カイガイ</t>
    </rPh>
    <rPh sb="2" eb="4">
      <t>シンブン</t>
    </rPh>
    <rPh sb="4" eb="6">
      <t>フキュウ</t>
    </rPh>
    <rPh sb="6" eb="10">
      <t>カブシキガイシャ</t>
    </rPh>
    <phoneticPr fontId="4"/>
  </si>
  <si>
    <t>東京都港区芝浦２－９－１３</t>
    <rPh sb="0" eb="3">
      <t>トウキョウト</t>
    </rPh>
    <rPh sb="3" eb="5">
      <t>ミナトク</t>
    </rPh>
    <rPh sb="5" eb="7">
      <t>シバウラ</t>
    </rPh>
    <phoneticPr fontId="4"/>
  </si>
  <si>
    <t>落札者が契約を結ばなかったため，予定価格の範囲内で次に廉価であった同社に対し，落札金額制限内での交渉しており，他に競争を許さないため（予決令第99条の3）</t>
    <rPh sb="0" eb="3">
      <t>ラクサツシャ</t>
    </rPh>
    <rPh sb="4" eb="6">
      <t>ケイヤク</t>
    </rPh>
    <rPh sb="7" eb="8">
      <t>ムス</t>
    </rPh>
    <rPh sb="16" eb="18">
      <t>ヨテイ</t>
    </rPh>
    <rPh sb="18" eb="20">
      <t>カカク</t>
    </rPh>
    <rPh sb="21" eb="24">
      <t>ハンイナイ</t>
    </rPh>
    <rPh sb="25" eb="26">
      <t>ツギ</t>
    </rPh>
    <rPh sb="27" eb="29">
      <t>レンカ</t>
    </rPh>
    <rPh sb="33" eb="35">
      <t>ドウシャ</t>
    </rPh>
    <rPh sb="36" eb="37">
      <t>タイ</t>
    </rPh>
    <rPh sb="39" eb="41">
      <t>ラクサツ</t>
    </rPh>
    <rPh sb="41" eb="43">
      <t>キンガク</t>
    </rPh>
    <rPh sb="43" eb="46">
      <t>セイゲンナイ</t>
    </rPh>
    <rPh sb="48" eb="50">
      <t>コウショウ</t>
    </rPh>
    <rPh sb="55" eb="56">
      <t>タ</t>
    </rPh>
    <rPh sb="57" eb="59">
      <t>キョウソウ</t>
    </rPh>
    <rPh sb="60" eb="61">
      <t>ユル</t>
    </rPh>
    <rPh sb="67" eb="68">
      <t>ヨ</t>
    </rPh>
    <rPh sb="68" eb="69">
      <t>ケツ</t>
    </rPh>
    <rPh sb="69" eb="70">
      <t>レイ</t>
    </rPh>
    <rPh sb="70" eb="71">
      <t>ダイ</t>
    </rPh>
    <rPh sb="73" eb="74">
      <t>ジョウ</t>
    </rPh>
    <phoneticPr fontId="2"/>
  </si>
  <si>
    <t>単価契約　　　　　不落随契</t>
    <rPh sb="0" eb="2">
      <t>タンカ</t>
    </rPh>
    <rPh sb="2" eb="4">
      <t>ケイヤク</t>
    </rPh>
    <phoneticPr fontId="2"/>
  </si>
  <si>
    <t>04-136</t>
  </si>
  <si>
    <t>「総理等外国訪問時の内外記者会見等における同時通訳システム運用・技術者派遣」業務委嘱</t>
    <rPh sb="16" eb="17">
      <t>トウ</t>
    </rPh>
    <phoneticPr fontId="4"/>
  </si>
  <si>
    <t>株式会社放送サービスセンター</t>
  </si>
  <si>
    <t>東京都新宿区本塩町９</t>
  </si>
  <si>
    <t>公募を実施した結果，応募が一社のみであり，また審査の結果，業務の適正な遂行が認められ，他に競争を許さないため（会計法第29条の3第4項）。</t>
    <rPh sb="13" eb="14">
      <t>イチ</t>
    </rPh>
    <phoneticPr fontId="2"/>
  </si>
  <si>
    <t>民30</t>
    <rPh sb="0" eb="1">
      <t>ミン</t>
    </rPh>
    <phoneticPr fontId="2"/>
  </si>
  <si>
    <t>22P552</t>
  </si>
  <si>
    <t>04-137</t>
  </si>
  <si>
    <t>「成田国際空港有料待合室」賃貸借契約</t>
  </si>
  <si>
    <t>本件サービスの提供が可能な業者は，本案件の相手方の他になく，他に競争を許さないため（会計法第29条の3第4項）。</t>
  </si>
  <si>
    <t>⑥カDその他</t>
    <rPh sb="5" eb="6">
      <t>タ</t>
    </rPh>
    <phoneticPr fontId="34"/>
  </si>
  <si>
    <t>⑥カ</t>
    <phoneticPr fontId="4"/>
  </si>
  <si>
    <t>カ</t>
  </si>
  <si>
    <t>04-138</t>
  </si>
  <si>
    <t>「成田国際空港タクシー供給請負」業務委嘱</t>
  </si>
  <si>
    <t>成田国際空港タクシー運営委員会</t>
  </si>
  <si>
    <t>道路運送法第９条による認可料金であるため。</t>
  </si>
  <si>
    <t>⑥カ0</t>
  </si>
  <si>
    <t>04-139</t>
  </si>
  <si>
    <t>「一般乗用旅客自動車（ハイヤー）による輸送」業務委嘱</t>
    <rPh sb="1" eb="3">
      <t>イッパン</t>
    </rPh>
    <rPh sb="3" eb="5">
      <t>ジョウヨウ</t>
    </rPh>
    <rPh sb="5" eb="7">
      <t>リョキャク</t>
    </rPh>
    <rPh sb="7" eb="10">
      <t>ジドウシャ</t>
    </rPh>
    <rPh sb="19" eb="21">
      <t>ユソウ</t>
    </rPh>
    <rPh sb="22" eb="24">
      <t>ギョウム</t>
    </rPh>
    <rPh sb="24" eb="26">
      <t>イショク</t>
    </rPh>
    <phoneticPr fontId="23"/>
  </si>
  <si>
    <t>①日本交通株式会社
②国際ハイヤー株式会社
③株式会社日の丸リムジン
④大和自動車交通株式会社
⑤帝都自動車交通株式会社</t>
  </si>
  <si>
    <t>①東京都中央区日本橋兜町１－１３
②東京都中央区新川２－２０－１０
③東京都港区赤坂１－１２－３２
④東京都千代田区日比谷公園１－２
⑤東京都中央区銀座八丁目地先</t>
    <rPh sb="4" eb="7">
      <t>チュウオウク</t>
    </rPh>
    <rPh sb="7" eb="10">
      <t>ニホンバシ</t>
    </rPh>
    <rPh sb="10" eb="12">
      <t>カブトチョウ</t>
    </rPh>
    <phoneticPr fontId="4"/>
  </si>
  <si>
    <t>公募を実施した結果，業務の適正な遂行が可能と認められ，他に競争を許さないため（会計法第29条の3第4項）。</t>
  </si>
  <si>
    <t>⑥ア（公募）3</t>
  </si>
  <si>
    <t>民36</t>
    <rPh sb="0" eb="1">
      <t>ミン</t>
    </rPh>
    <phoneticPr fontId="2"/>
  </si>
  <si>
    <r>
      <t>04-140　</t>
    </r>
    <r>
      <rPr>
        <sz val="9"/>
        <color rgb="FFFF0000"/>
        <rFont val="ＭＳ Ｐゴシック"/>
        <family val="3"/>
        <charset val="128"/>
        <scheme val="minor"/>
      </rPr>
      <t>１５件</t>
    </r>
    <rPh sb="9" eb="10">
      <t>ケン</t>
    </rPh>
    <phoneticPr fontId="2"/>
  </si>
  <si>
    <t>「国・公賓等訪日接遇（歓迎用街路旗設置・撤去）」業務委嘱</t>
    <rPh sb="6" eb="8">
      <t>ホウニチ</t>
    </rPh>
    <rPh sb="8" eb="10">
      <t>セツグウ</t>
    </rPh>
    <rPh sb="24" eb="26">
      <t>ギョウム</t>
    </rPh>
    <rPh sb="26" eb="28">
      <t>イショク</t>
    </rPh>
    <phoneticPr fontId="4"/>
  </si>
  <si>
    <t>公募を実施した結果，応募が一社のみであり，また，審査の結果，業務の適正な履行が可能と認められ，他に競争を許さないため（会計法第29条の3第4項）。</t>
  </si>
  <si>
    <t>22P400</t>
  </si>
  <si>
    <t>厚</t>
  </si>
  <si>
    <t>04-141</t>
  </si>
  <si>
    <t>「戦争危険担保特約」付保契約</t>
  </si>
  <si>
    <t>外務省共済組合</t>
  </si>
  <si>
    <t>本件は，外務省共済組合が実施する当省職員のための海外旅行保険をベースに戦争危険担保特約を付保するものであり，他に競争を許さないため（会計法第29条の3第4項）。</t>
  </si>
  <si>
    <t>③アAﾊ</t>
    <phoneticPr fontId="43"/>
  </si>
  <si>
    <t>22P209</t>
  </si>
  <si>
    <t>③ア</t>
    <phoneticPr fontId="4"/>
  </si>
  <si>
    <t>③</t>
  </si>
  <si>
    <t>04-142</t>
  </si>
  <si>
    <t>「官報公告等」掲載契約</t>
    <rPh sb="9" eb="11">
      <t>ケイヤク</t>
    </rPh>
    <phoneticPr fontId="4"/>
  </si>
  <si>
    <t>独立行政法人国立印刷局</t>
  </si>
  <si>
    <t>東京都港区虎ノ門２－２－４</t>
  </si>
  <si>
    <t>当該刊行物の出版元と直接契約するものであり，他に競争を許さないため。（会計法第29条の3第4項）</t>
  </si>
  <si>
    <t>単価契約</t>
  </si>
  <si>
    <t>③ア0</t>
  </si>
  <si>
    <t>法2</t>
    <rPh sb="0" eb="1">
      <t>ホウ</t>
    </rPh>
    <phoneticPr fontId="2"/>
  </si>
  <si>
    <t>04-143</t>
  </si>
  <si>
    <t>「一般乗用旅客自動車（タクシー）による輸送」業務委嘱</t>
    <rPh sb="1" eb="3">
      <t>イッパン</t>
    </rPh>
    <rPh sb="3" eb="5">
      <t>ジョウヨウ</t>
    </rPh>
    <rPh sb="5" eb="7">
      <t>リョキャク</t>
    </rPh>
    <rPh sb="7" eb="10">
      <t>ジドウシャ</t>
    </rPh>
    <rPh sb="19" eb="21">
      <t>ユソウ</t>
    </rPh>
    <rPh sb="22" eb="24">
      <t>ギョウム</t>
    </rPh>
    <rPh sb="24" eb="26">
      <t>イショク</t>
    </rPh>
    <phoneticPr fontId="23"/>
  </si>
  <si>
    <t>①株式会社グリーンキャブ
②東京都個人タクシー協同組合
③日個連東京都営業協同組合
④東京四社営業委員会
⑤日の丸自動車株式会社
⑥共同無線タクシー協同組合
⑦チェッカーキャブ無線協同組合
⑧東都タクシー無線協同組合
⑨イーエム自交無線協同組合
⑩東京無線協同組合</t>
  </si>
  <si>
    <t>①東京都新宿区戸山３－１５－１
②東京都中野区弥生町５－６－６
③東京都豊島区巣鴨１－９－１
④東京都中央区日本橋本町４－１５－１１
⑤東京都文京区後楽１－１－８
⑥東京都豊島区上池袋１－３８－５
⑦東京都中央区銀座８－１１－１
⑧東京都豊島区西池袋５－１３－１３
⑨東京都中央区築地１－４－１１
⑩東京都杉並区高円寺北２－１－２０</t>
  </si>
  <si>
    <t>民32</t>
    <rPh sb="0" eb="1">
      <t>ミン</t>
    </rPh>
    <phoneticPr fontId="2"/>
  </si>
  <si>
    <t>22P252</t>
  </si>
  <si>
    <t>04-144</t>
  </si>
  <si>
    <t>「自動車ガソリン等」の購入</t>
  </si>
  <si>
    <t>札幌タヤス</t>
  </si>
  <si>
    <t>東京都港区赤坂１－３－９</t>
  </si>
  <si>
    <t>再度の入札をもってしても落札者がなかったため，最も廉価であった同社に対し予定価格範囲内での交渉をしており，他に競争を許さないため（予決令第99条の2）。</t>
    <rPh sb="65" eb="68">
      <t>ヨケツレイ</t>
    </rPh>
    <rPh sb="68" eb="69">
      <t>ダイ</t>
    </rPh>
    <rPh sb="71" eb="72">
      <t>ジョウ</t>
    </rPh>
    <phoneticPr fontId="2"/>
  </si>
  <si>
    <t>22P098
他</t>
    <phoneticPr fontId="4"/>
  </si>
  <si>
    <t>会</t>
    <rPh sb="0" eb="1">
      <t>カイ</t>
    </rPh>
    <phoneticPr fontId="2"/>
  </si>
  <si>
    <t>小林</t>
    <rPh sb="0" eb="2">
      <t>コバヤシ</t>
    </rPh>
    <phoneticPr fontId="2"/>
  </si>
  <si>
    <t>⑥ア</t>
    <phoneticPr fontId="2"/>
  </si>
  <si>
    <t>ア</t>
    <phoneticPr fontId="4"/>
  </si>
  <si>
    <t>邦字新聞の購読契約</t>
    <phoneticPr fontId="4"/>
  </si>
  <si>
    <t>丸の内新聞事業共同組合</t>
    <phoneticPr fontId="4"/>
  </si>
  <si>
    <t>東京都千代田区内幸町１－７－１０</t>
    <phoneticPr fontId="4"/>
  </si>
  <si>
    <t>競争を許さない場合又は緊急の必要を理由とする場合</t>
  </si>
  <si>
    <t>単価契約＠3,925ほか
２２Ｐ０９８，２２Ｐ０９９（警対／庁），２２Ｓ０３２（国協力），２２Ｙ００４（図），２２Ｗ１０３（業庁）</t>
    <rPh sb="0" eb="2">
      <t>タンカ</t>
    </rPh>
    <rPh sb="2" eb="4">
      <t>ケイヤク</t>
    </rPh>
    <phoneticPr fontId="4"/>
  </si>
  <si>
    <t>榊原</t>
    <rPh sb="0" eb="2">
      <t>サカキバラ</t>
    </rPh>
    <phoneticPr fontId="2"/>
  </si>
  <si>
    <t>外国新聞「Ｆｉｎａｎｃｉａｌ　Ｔｉｍｅｓ」の購読契約</t>
    <phoneticPr fontId="4"/>
  </si>
  <si>
    <t>フィナンシャル・タイムズ（ジャパン）リミテッド</t>
    <phoneticPr fontId="4"/>
  </si>
  <si>
    <t>東京都千代田区内幸町１－１－７</t>
    <phoneticPr fontId="4"/>
  </si>
  <si>
    <t>２２Ｐ０８０（庁（一部除く）），２２Ｓ０１８（国法局），２２Ｓ０１７（報報）</t>
    <phoneticPr fontId="4"/>
  </si>
  <si>
    <t>22P124
他</t>
    <phoneticPr fontId="4"/>
  </si>
  <si>
    <t>「追録」書籍の購読契約</t>
    <phoneticPr fontId="4"/>
  </si>
  <si>
    <t>株式会社ぎょうせい</t>
    <phoneticPr fontId="4"/>
  </si>
  <si>
    <t>東京都江東区新木場１－１８－１１</t>
    <phoneticPr fontId="4"/>
  </si>
  <si>
    <t>単価契約＠929ほか</t>
    <rPh sb="0" eb="2">
      <t>タンカ</t>
    </rPh>
    <rPh sb="2" eb="4">
      <t>ケイヤク</t>
    </rPh>
    <phoneticPr fontId="4"/>
  </si>
  <si>
    <t>在</t>
    <rPh sb="0" eb="1">
      <t>ザイ</t>
    </rPh>
    <phoneticPr fontId="2"/>
  </si>
  <si>
    <t>成田</t>
    <rPh sb="0" eb="2">
      <t>ナリタ</t>
    </rPh>
    <phoneticPr fontId="2"/>
  </si>
  <si>
    <t>⑥</t>
    <phoneticPr fontId="4"/>
  </si>
  <si>
    <t>海外旅行（在外赴任者保険）付保契約</t>
    <phoneticPr fontId="4"/>
  </si>
  <si>
    <t>外務省共済組合</t>
    <phoneticPr fontId="4"/>
  </si>
  <si>
    <t>千代田区霞が関２－２－１</t>
    <phoneticPr fontId="4"/>
  </si>
  <si>
    <t>単価契約@86,180ほか</t>
    <rPh sb="0" eb="2">
      <t>タンカ</t>
    </rPh>
    <rPh sb="2" eb="4">
      <t>ケイヤク</t>
    </rPh>
    <phoneticPr fontId="4"/>
  </si>
  <si>
    <t>情報４</t>
    <rPh sb="0" eb="2">
      <t>ジョウホウ</t>
    </rPh>
    <phoneticPr fontId="2"/>
  </si>
  <si>
    <t>平成２２年度「ＡＦＰニュースサービス」の提供</t>
    <phoneticPr fontId="4"/>
  </si>
  <si>
    <t>株式会社時事通信社</t>
    <phoneticPr fontId="4"/>
  </si>
  <si>
    <t>東京都中央区銀座５－１５－８</t>
    <phoneticPr fontId="4"/>
  </si>
  <si>
    <t>22X023</t>
  </si>
  <si>
    <t>04-145</t>
  </si>
  <si>
    <t>「海外広報用ビデオ『ＪAPAN VIDEO TOPICS』制作及び複製」業務委嘱</t>
  </si>
  <si>
    <t>インタンシヨナル映画株式会社</t>
  </si>
  <si>
    <t>東京都港区西新橋３－２３－６</t>
  </si>
  <si>
    <t>民328</t>
    <rPh sb="0" eb="1">
      <t>ミン</t>
    </rPh>
    <phoneticPr fontId="2"/>
  </si>
  <si>
    <t>22G103</t>
  </si>
  <si>
    <t>04-146</t>
  </si>
  <si>
    <t>「ＯＤＡ評価『パリ宣言実施状況：ドナー本部評価』補助」業務委嘱</t>
    <rPh sb="27" eb="29">
      <t>ギョウム</t>
    </rPh>
    <rPh sb="29" eb="31">
      <t>イショク</t>
    </rPh>
    <phoneticPr fontId="4"/>
  </si>
  <si>
    <t>みずほ情報総研株式会社</t>
  </si>
  <si>
    <t>東京都千代田区神田錦町２－３</t>
  </si>
  <si>
    <t>22G043</t>
  </si>
  <si>
    <t>04-147</t>
  </si>
  <si>
    <t>「英語電子メール添削研修」実施委嘱</t>
  </si>
  <si>
    <t>22G116</t>
  </si>
  <si>
    <t>04-148</t>
  </si>
  <si>
    <t>「英語通訳研修」実施委嘱</t>
    <rPh sb="8" eb="10">
      <t>ジッシ</t>
    </rPh>
    <rPh sb="10" eb="12">
      <t>イショク</t>
    </rPh>
    <phoneticPr fontId="4"/>
  </si>
  <si>
    <t>東京都港区赤坂２－２－１２</t>
  </si>
  <si>
    <t>22Z055</t>
  </si>
  <si>
    <t>04-149</t>
  </si>
  <si>
    <t>「在外経理システム用ＶＰＮ機能付ルータのＩＰアドレス変更作業支援」業務委嘱</t>
    <rPh sb="33" eb="35">
      <t>ギョウム</t>
    </rPh>
    <rPh sb="35" eb="37">
      <t>イショク</t>
    </rPh>
    <phoneticPr fontId="4"/>
  </si>
  <si>
    <t>現在稼働中のシステムの支援業務を同システムの開発業者である契約の相手方に委嘱するものであり，通信に障害を及ぼすことなく安定運用を確実に遂行しうる者は他になく，他に競争を許さないため。(会計法第29条の3第4項)</t>
    <rPh sb="11" eb="13">
      <t>シエン</t>
    </rPh>
    <phoneticPr fontId="2"/>
  </si>
  <si>
    <t>×
移行済み
(21年度）</t>
    <rPh sb="2" eb="4">
      <t>イコウ</t>
    </rPh>
    <rPh sb="4" eb="5">
      <t>ズ</t>
    </rPh>
    <rPh sb="10" eb="12">
      <t>ネンド</t>
    </rPh>
    <phoneticPr fontId="34"/>
  </si>
  <si>
    <t>22G196</t>
  </si>
  <si>
    <t>総企</t>
  </si>
  <si>
    <t>04-150</t>
  </si>
  <si>
    <t>「元老会議専門家会議及び年次総会」開催業務委嘱</t>
  </si>
  <si>
    <t>特定非営利活動法人インターアクション・カウンシル日本委員会</t>
  </si>
  <si>
    <t>東京都港区六本木３－１６－１３</t>
  </si>
  <si>
    <t>22G208</t>
  </si>
  <si>
    <t>04-151</t>
  </si>
  <si>
    <t>「軍縮・不拡散調査研究等」業務委嘱</t>
  </si>
  <si>
    <t>04-152</t>
  </si>
  <si>
    <t>「外国テレビチーム接遇及び取材協力」業務委嘱</t>
  </si>
  <si>
    <t>インタナシヨナル映画株式会社</t>
  </si>
  <si>
    <t>民294</t>
    <rPh sb="0" eb="1">
      <t>ミン</t>
    </rPh>
    <phoneticPr fontId="2"/>
  </si>
  <si>
    <t>⑥イAﾆ(ﾍ)</t>
  </si>
  <si>
    <t>22G145</t>
  </si>
  <si>
    <t>総国政</t>
  </si>
  <si>
    <t>⑥イ</t>
    <phoneticPr fontId="4"/>
  </si>
  <si>
    <t>イ</t>
  </si>
  <si>
    <t>04-153</t>
  </si>
  <si>
    <t>「外務大臣の国連安保理出席に伴う同時通訳」業務委嘱</t>
    <rPh sb="14" eb="15">
      <t>トモナ</t>
    </rPh>
    <phoneticPr fontId="4"/>
  </si>
  <si>
    <t>株式会社リンガバンク</t>
  </si>
  <si>
    <t>東京都港区西新宿３－１５－３</t>
  </si>
  <si>
    <t>通常，総理等の外国訪問は直前に決定されるため入札は不可能であり，本契約の相手方はこの種の公式通訳を行うことが可能な経験豊富な者を迅速に手配可能であり，他に競争を許さないため。(会計法第29条の3第4項)</t>
  </si>
  <si>
    <t>⑥イ0</t>
  </si>
  <si>
    <t>民245</t>
    <rPh sb="0" eb="1">
      <t>ミン</t>
    </rPh>
    <phoneticPr fontId="2"/>
  </si>
  <si>
    <t>③アD稼働</t>
    <rPh sb="3" eb="5">
      <t>カドウ</t>
    </rPh>
    <phoneticPr fontId="4"/>
  </si>
  <si>
    <t>04-154</t>
  </si>
  <si>
    <t>「ＩＣ旅券冊子他旅券関係用紙」作成契約</t>
    <rPh sb="7" eb="8">
      <t>ホカ</t>
    </rPh>
    <rPh sb="8" eb="10">
      <t>リョケン</t>
    </rPh>
    <rPh sb="10" eb="12">
      <t>カンケイ</t>
    </rPh>
    <rPh sb="12" eb="14">
      <t>ヨウシ</t>
    </rPh>
    <rPh sb="15" eb="17">
      <t>サクセイ</t>
    </rPh>
    <rPh sb="17" eb="19">
      <t>ケイヤク</t>
    </rPh>
    <phoneticPr fontId="4"/>
  </si>
  <si>
    <t>東京都港区虎ノ門２－２－４</t>
    <rPh sb="0" eb="3">
      <t>トウキョウト</t>
    </rPh>
    <phoneticPr fontId="4"/>
  </si>
  <si>
    <t>本件消耗品の製作が可能な業者は，当該消耗品の特許権を有する本契約の相手方の他になく，他に競争を許さないため。(会計法第29条の3第4項)</t>
  </si>
  <si>
    <t>22G158</t>
  </si>
  <si>
    <t>国協民</t>
  </si>
  <si>
    <t>04-155</t>
  </si>
  <si>
    <t>「日本ＮＧＯ連携無償資金協力案件調査」業務委嘱</t>
    <rPh sb="19" eb="21">
      <t>ギョウム</t>
    </rPh>
    <rPh sb="21" eb="23">
      <t>イショク</t>
    </rPh>
    <phoneticPr fontId="4"/>
  </si>
  <si>
    <t>株式会社アンジェロセック</t>
  </si>
  <si>
    <t>東京都新宿区新宿６－５－１</t>
  </si>
  <si>
    <t>22G159</t>
  </si>
  <si>
    <t>04-156</t>
  </si>
  <si>
    <t>「北方領土問題啓発事業」業務委嘱</t>
    <rPh sb="12" eb="14">
      <t>ギョウム</t>
    </rPh>
    <rPh sb="14" eb="16">
      <t>イショク</t>
    </rPh>
    <phoneticPr fontId="4"/>
  </si>
  <si>
    <t>社団法人北方領土復帰期成同盟</t>
  </si>
  <si>
    <t>北海道札幌市中央区北一条東１－２－５</t>
  </si>
  <si>
    <t>04-157</t>
  </si>
  <si>
    <t>「オピニオンリーダー招待及び高級実務者招聘事業」運営業務委嘱</t>
  </si>
  <si>
    <t>①ア（企画）3</t>
  </si>
  <si>
    <t>22Z054</t>
  </si>
  <si>
    <t>04-158</t>
  </si>
  <si>
    <t>「ＩＰ電話システム追加構築」業務委嘱</t>
    <rPh sb="9" eb="11">
      <t>ツイカ</t>
    </rPh>
    <rPh sb="14" eb="16">
      <t>ギョウム</t>
    </rPh>
    <rPh sb="16" eb="18">
      <t>イショク</t>
    </rPh>
    <phoneticPr fontId="4"/>
  </si>
  <si>
    <t>①東京都港区虎ノ門１－７－１２
②東京都港区芝浦４－１０－１６</t>
  </si>
  <si>
    <t>現在稼働中のシステムの追加構築業務を同機器の開発業者である契約の相手方に委嘱するものであり，通信に障害を及ぼすことなく安定運用を確実に遂行しうる者はなく，他に競争を許さないため（会計法第29条の3第4項）。</t>
  </si>
  <si>
    <t>22M014</t>
  </si>
  <si>
    <t>04-159</t>
  </si>
  <si>
    <t>「外務省情報ネットワーク最適化の在外展開に伴うＩＰアドレス変更作業」業務委嘱</t>
    <rPh sb="34" eb="36">
      <t>ギョウム</t>
    </rPh>
    <rPh sb="36" eb="38">
      <t>イショク</t>
    </rPh>
    <phoneticPr fontId="4"/>
  </si>
  <si>
    <t>現在稼働中のシステムの設定変更を同システムの開発業者である契約の相手方に委嘱するものであり，通信に障害を及ぼすことなく安定運用を確実に遂行しうる者はなく，他に競争を許さないため（会計法第29条の3第4項）。</t>
  </si>
  <si>
    <t>04-160</t>
  </si>
  <si>
    <t>「ＥＴＣカード」利用契約</t>
  </si>
  <si>
    <t>トヨタファイナンス株式会社</t>
  </si>
  <si>
    <t>東京都江東区東陽６－３－２</t>
  </si>
  <si>
    <t>22G184</t>
  </si>
  <si>
    <t>欧政策</t>
  </si>
  <si>
    <t>04-161</t>
  </si>
  <si>
    <t>「日欧高校生交流プログラム」業務委嘱</t>
    <rPh sb="1" eb="3">
      <t>ニチオウ</t>
    </rPh>
    <rPh sb="3" eb="6">
      <t>コウコウセイ</t>
    </rPh>
    <rPh sb="6" eb="8">
      <t>コウリュウ</t>
    </rPh>
    <rPh sb="14" eb="16">
      <t>ギョウム</t>
    </rPh>
    <rPh sb="16" eb="18">
      <t>イショク</t>
    </rPh>
    <phoneticPr fontId="4"/>
  </si>
  <si>
    <t>社団法人国際フレンドシップ協会</t>
  </si>
  <si>
    <t>東京都港区麻布台３－４－１２</t>
  </si>
  <si>
    <t>法24</t>
    <rPh sb="0" eb="1">
      <t>ホウ</t>
    </rPh>
    <phoneticPr fontId="2"/>
  </si>
  <si>
    <t>04-162</t>
  </si>
  <si>
    <t>「日本ＡＰＥＣ第２回札幌高級実務者会合（ＳＯＭ２）及び関連会合並びに，ＡＰＥＣ貿易担当大臣会合（ＭＲＴ）開催準備に伴う無線タクシー」利用契約</t>
    <rPh sb="9" eb="10">
      <t>カイ</t>
    </rPh>
    <rPh sb="57" eb="58">
      <t>トモナ</t>
    </rPh>
    <rPh sb="66" eb="68">
      <t>リヨウ</t>
    </rPh>
    <rPh sb="68" eb="70">
      <t>ケイヤク</t>
    </rPh>
    <phoneticPr fontId="4"/>
  </si>
  <si>
    <t>札幌ハイヤー事業協同組合</t>
  </si>
  <si>
    <t>北海道札幌市中央区南８－１５</t>
  </si>
  <si>
    <t xml:space="preserve"> </t>
  </si>
  <si>
    <t>04-163</t>
  </si>
  <si>
    <t>×
移行済み
(17年度）</t>
    <rPh sb="2" eb="4">
      <t>イコウ</t>
    </rPh>
    <rPh sb="4" eb="5">
      <t>ズ</t>
    </rPh>
    <rPh sb="10" eb="12">
      <t>ネンド</t>
    </rPh>
    <phoneticPr fontId="34"/>
  </si>
  <si>
    <t>22G107</t>
  </si>
  <si>
    <t>04-164</t>
  </si>
  <si>
    <t>「外交実務語学研修」実施委嘱</t>
    <rPh sb="10" eb="12">
      <t>ジッシ</t>
    </rPh>
    <rPh sb="12" eb="14">
      <t>イショク</t>
    </rPh>
    <phoneticPr fontId="4"/>
  </si>
  <si>
    <t>民448</t>
    <rPh sb="0" eb="1">
      <t>ミン</t>
    </rPh>
    <phoneticPr fontId="2"/>
  </si>
  <si>
    <t>22G170　22X043</t>
  </si>
  <si>
    <t>経ア太</t>
  </si>
  <si>
    <t>04-165</t>
  </si>
  <si>
    <t>「太平洋経済協力会議（ＰＥＣＣ）日本委員会事務局業務」業務委嘱</t>
    <rPh sb="27" eb="29">
      <t>ギョウム</t>
    </rPh>
    <rPh sb="29" eb="31">
      <t>イショク</t>
    </rPh>
    <phoneticPr fontId="4"/>
  </si>
  <si>
    <t>民412</t>
    <rPh sb="0" eb="1">
      <t>ミン</t>
    </rPh>
    <phoneticPr fontId="2"/>
  </si>
  <si>
    <t>04-166</t>
  </si>
  <si>
    <t>「在外公館所在地における物価等調査・分析」業務委嘱</t>
    <rPh sb="21" eb="23">
      <t>ギョウム</t>
    </rPh>
    <rPh sb="23" eb="25">
      <t>イショク</t>
    </rPh>
    <phoneticPr fontId="4"/>
  </si>
  <si>
    <t>横河オーガニゼーション・リソース・カウンセラーズ株式会社</t>
  </si>
  <si>
    <t>東京都武蔵野市中町１－１５－５</t>
  </si>
  <si>
    <t>22G144</t>
  </si>
  <si>
    <t>04-167</t>
  </si>
  <si>
    <t>「第４部英語研修（初任・第Ⅰ期）」実施委嘱</t>
    <rPh sb="17" eb="19">
      <t>ジッシ</t>
    </rPh>
    <rPh sb="19" eb="21">
      <t>イショク</t>
    </rPh>
    <phoneticPr fontId="4"/>
  </si>
  <si>
    <t>民165</t>
    <rPh sb="0" eb="1">
      <t>ミン</t>
    </rPh>
    <phoneticPr fontId="2"/>
  </si>
  <si>
    <t>⑥アD稼働</t>
  </si>
  <si>
    <t>22V016</t>
  </si>
  <si>
    <t>04-168</t>
  </si>
  <si>
    <t>「ノートパソコン用マスタシステム作成等」業務委嘱</t>
    <rPh sb="18" eb="19">
      <t>トウ</t>
    </rPh>
    <rPh sb="20" eb="22">
      <t>ギョウム</t>
    </rPh>
    <rPh sb="22" eb="24">
      <t>イショク</t>
    </rPh>
    <phoneticPr fontId="4"/>
  </si>
  <si>
    <t>現在稼働中のシステムにおけるパソコンのマスタ展開業務を同システムの開発業者である契約の相手方に委嘱するものであり，通信に障害を及ぼすことなく安定運用を確実に遂行しうる者は他になく，他に競争を許さないため。（会計法第29条の3第4項）</t>
    <rPh sb="90" eb="91">
      <t>タ</t>
    </rPh>
    <phoneticPr fontId="2"/>
  </si>
  <si>
    <t>会計課調達室／物品調達班</t>
  </si>
  <si>
    <t>榊原</t>
  </si>
  <si>
    <t>「統合作成機用消耗品」の製造契約</t>
    <rPh sb="12" eb="14">
      <t>セイゾウ</t>
    </rPh>
    <rPh sb="14" eb="16">
      <t>ケイヤク</t>
    </rPh>
    <phoneticPr fontId="4"/>
  </si>
  <si>
    <t>支出負担行為担当官
外務省大臣官房長　木寺昌人
東京都千代田区霞が関２－２－１</t>
    <rPh sb="0" eb="2">
      <t>シシュツ</t>
    </rPh>
    <rPh sb="2" eb="4">
      <t>フタン</t>
    </rPh>
    <rPh sb="4" eb="6">
      <t>コウイ</t>
    </rPh>
    <rPh sb="6" eb="9">
      <t>タントウカン</t>
    </rPh>
    <rPh sb="10" eb="13">
      <t>ガイムショウ</t>
    </rPh>
    <rPh sb="13" eb="15">
      <t>ダイジン</t>
    </rPh>
    <rPh sb="15" eb="17">
      <t>カンボウ</t>
    </rPh>
    <rPh sb="19" eb="21">
      <t>キデラ</t>
    </rPh>
    <rPh sb="21" eb="23">
      <t>マサト</t>
    </rPh>
    <rPh sb="23" eb="24">
      <t>カズヤ</t>
    </rPh>
    <rPh sb="24" eb="27">
      <t>トウキョウト</t>
    </rPh>
    <rPh sb="27" eb="31">
      <t>チヨダク</t>
    </rPh>
    <rPh sb="31" eb="32">
      <t>カスミ</t>
    </rPh>
    <rPh sb="33" eb="34">
      <t>セキ</t>
    </rPh>
    <phoneticPr fontId="4"/>
  </si>
  <si>
    <t>本件消耗品の製作が可能な業者は，当該機器の販売業者である本契約の相手方の他になく，他に競争を許さないため。(会計法第29条の3第4項)</t>
  </si>
  <si>
    <t>⑥ア1</t>
  </si>
  <si>
    <t>③アD通達</t>
    <rPh sb="3" eb="5">
      <t>ツウタツ</t>
    </rPh>
    <phoneticPr fontId="34"/>
  </si>
  <si>
    <t>22M125</t>
  </si>
  <si>
    <t>領外</t>
    <rPh sb="0" eb="2">
      <t>リョウガイ</t>
    </rPh>
    <phoneticPr fontId="4"/>
  </si>
  <si>
    <t>「ＭＲＶ査証シール製造」業務委嘱</t>
  </si>
  <si>
    <t>独立行政法人国立印刷局</t>
    <rPh sb="0" eb="2">
      <t>ドクリツ</t>
    </rPh>
    <rPh sb="2" eb="4">
      <t>ギョウセイ</t>
    </rPh>
    <rPh sb="4" eb="6">
      <t>ホウジン</t>
    </rPh>
    <rPh sb="6" eb="8">
      <t>コクリツ</t>
    </rPh>
    <rPh sb="8" eb="11">
      <t>インサツキョク</t>
    </rPh>
    <phoneticPr fontId="4"/>
  </si>
  <si>
    <t>東京都港区虎ノ門２－２－４</t>
    <rPh sb="0" eb="3">
      <t>トウキョウト</t>
    </rPh>
    <rPh sb="3" eb="5">
      <t>ミナトク</t>
    </rPh>
    <rPh sb="5" eb="6">
      <t>トラ</t>
    </rPh>
    <rPh sb="7" eb="8">
      <t>モン</t>
    </rPh>
    <phoneticPr fontId="4"/>
  </si>
  <si>
    <t>③ア1</t>
  </si>
  <si>
    <t>20年度に基本設計業務契約の相手を企画競争で選定</t>
    <rPh sb="2" eb="4">
      <t>ネンド</t>
    </rPh>
    <rPh sb="5" eb="7">
      <t>キホン</t>
    </rPh>
    <rPh sb="7" eb="9">
      <t>セッケイ</t>
    </rPh>
    <rPh sb="9" eb="11">
      <t>ギョウム</t>
    </rPh>
    <rPh sb="11" eb="13">
      <t>ケイヤク</t>
    </rPh>
    <rPh sb="14" eb="16">
      <t>アイテ</t>
    </rPh>
    <rPh sb="17" eb="19">
      <t>キカク</t>
    </rPh>
    <rPh sb="19" eb="21">
      <t>キョウソウ</t>
    </rPh>
    <rPh sb="22" eb="24">
      <t>センテイ</t>
    </rPh>
    <phoneticPr fontId="34"/>
  </si>
  <si>
    <t>22G212</t>
  </si>
  <si>
    <t>欧支</t>
  </si>
  <si>
    <t>会計課調達室／サービス調達第１班</t>
  </si>
  <si>
    <t>新森</t>
    <rPh sb="0" eb="1">
      <t>シン</t>
    </rPh>
    <rPh sb="1" eb="2">
      <t>モリ</t>
    </rPh>
    <phoneticPr fontId="4"/>
  </si>
  <si>
    <t>「対ロシア技術支援日本センター巡回講座／訪日研修事業『中小企業経営（極東部）』」業務委嘱</t>
    <rPh sb="40" eb="42">
      <t>ギョウム</t>
    </rPh>
    <rPh sb="42" eb="44">
      <t>イショク</t>
    </rPh>
    <phoneticPr fontId="4"/>
  </si>
  <si>
    <t>公益財団法人日本生産性本部</t>
  </si>
  <si>
    <t>東京都渋谷区渋谷３－１－１</t>
  </si>
  <si>
    <t>②ア（企画）3</t>
  </si>
  <si>
    <t>22G211</t>
  </si>
  <si>
    <t>「北方四島住民支援事業（患者受入：第１回目）患者の支援及び啓発」業務委嘱</t>
    <rPh sb="32" eb="34">
      <t>ギョウム</t>
    </rPh>
    <rPh sb="34" eb="36">
      <t>イショク</t>
    </rPh>
    <phoneticPr fontId="4"/>
  </si>
  <si>
    <t>根室市役所</t>
    <rPh sb="3" eb="5">
      <t>ヤクショ</t>
    </rPh>
    <phoneticPr fontId="4"/>
  </si>
  <si>
    <t>北海道根室市常盤町２－２７</t>
  </si>
  <si>
    <t>四島住民に真に必要な支援を実施し，領土問題の啓発を行いながら我が国に対する信頼感を高め，平和条約締結交渉の環境整備に資することが可能なのは，地方公共団体の他になく，他に競争を許さないため。(会計法第29条の3第4項)</t>
  </si>
  <si>
    <t>民381</t>
    <rPh sb="0" eb="1">
      <t>ミン</t>
    </rPh>
    <phoneticPr fontId="2"/>
  </si>
  <si>
    <t>新森</t>
  </si>
  <si>
    <t>「在外公館専門調査員派遣」業務委嘱</t>
    <rPh sb="13" eb="15">
      <t>ギョウム</t>
    </rPh>
    <rPh sb="15" eb="17">
      <t>イショク</t>
    </rPh>
    <phoneticPr fontId="4"/>
  </si>
  <si>
    <t>社団法人国際交流サービス協会</t>
    <phoneticPr fontId="4"/>
  </si>
  <si>
    <t>22G228</t>
  </si>
  <si>
    <t>「ＮＧＯインターン・プログラム」実施委嘱</t>
    <rPh sb="16" eb="18">
      <t>ジッシ</t>
    </rPh>
    <rPh sb="18" eb="20">
      <t>イショク</t>
    </rPh>
    <phoneticPr fontId="4"/>
  </si>
  <si>
    <t>２１年度比較で？</t>
    <rPh sb="2" eb="4">
      <t>ネンド</t>
    </rPh>
    <rPh sb="4" eb="6">
      <t>ヒカク</t>
    </rPh>
    <phoneticPr fontId="2"/>
  </si>
  <si>
    <t>22Z083</t>
  </si>
  <si>
    <t>会計課調達室／サービス調達第３班</t>
  </si>
  <si>
    <t>大河</t>
  </si>
  <si>
    <t>「領事業務の業務・システム最適化（改訂版）推進コンサルティング」業務委嘱</t>
    <rPh sb="32" eb="34">
      <t>ギョウム</t>
    </rPh>
    <rPh sb="34" eb="36">
      <t>イショク</t>
    </rPh>
    <phoneticPr fontId="4"/>
  </si>
  <si>
    <t>株式会社野村総合研究所</t>
    <rPh sb="0" eb="4">
      <t>カブシキガイシャ</t>
    </rPh>
    <rPh sb="4" eb="6">
      <t>ノムラ</t>
    </rPh>
    <rPh sb="6" eb="8">
      <t>ソウゴウ</t>
    </rPh>
    <rPh sb="8" eb="11">
      <t>ケンキュウジョ</t>
    </rPh>
    <phoneticPr fontId="4"/>
  </si>
  <si>
    <t>東京都千代田区丸の内１－６－５</t>
    <rPh sb="0" eb="3">
      <t>トウキョウト</t>
    </rPh>
    <rPh sb="3" eb="7">
      <t>チヨダク</t>
    </rPh>
    <rPh sb="7" eb="8">
      <t>マル</t>
    </rPh>
    <rPh sb="9" eb="10">
      <t>ウチ</t>
    </rPh>
    <phoneticPr fontId="4"/>
  </si>
  <si>
    <t>企画競争の結果，同社が最も高い評価を得て確実な業務の履行が可能であると認められ，他に競争を許さないため（会計法第29条の3第4項）。</t>
    <rPh sb="40" eb="41">
      <t>タ</t>
    </rPh>
    <rPh sb="42" eb="44">
      <t>キョウソウ</t>
    </rPh>
    <rPh sb="45" eb="46">
      <t>ユル</t>
    </rPh>
    <phoneticPr fontId="4"/>
  </si>
  <si>
    <t>22G193
22S209
22X045
22F010</t>
    <phoneticPr fontId="4"/>
  </si>
  <si>
    <t>ア２</t>
  </si>
  <si>
    <t>会計課調達室／サービス調達第２班</t>
  </si>
  <si>
    <t>田中</t>
  </si>
  <si>
    <t>「日・アフリカ交流構想『アフリカン・フェスタ２０１０』」開催業務委嘱</t>
    <rPh sb="30" eb="32">
      <t>ギョウム</t>
    </rPh>
    <rPh sb="32" eb="34">
      <t>イショク</t>
    </rPh>
    <phoneticPr fontId="4"/>
  </si>
  <si>
    <t>株式会社日広通信社</t>
    <rPh sb="0" eb="4">
      <t>カブシキガイシャ</t>
    </rPh>
    <phoneticPr fontId="4"/>
  </si>
  <si>
    <t>東京都千代田区麹町５－３</t>
  </si>
  <si>
    <t>企画競争の結果，同社が最も高い評価を得て確実な業務の履行が可能であると認められ，他に競争を許さないため（会計法第29条の3第4項）。</t>
    <rPh sb="40" eb="41">
      <t>タ</t>
    </rPh>
    <phoneticPr fontId="4"/>
  </si>
  <si>
    <t>22G210</t>
  </si>
  <si>
    <t>「対ロシア技術支援日本センターＯＪＴ研修事業『保健・医療分野（欧露部）』」業務委嘱</t>
    <rPh sb="37" eb="39">
      <t>ギョウム</t>
    </rPh>
    <rPh sb="39" eb="41">
      <t>イショク</t>
    </rPh>
    <phoneticPr fontId="4"/>
  </si>
  <si>
    <t>財団法人国際看護交流協会</t>
  </si>
  <si>
    <t>東京都千代田区九段南３－２－２</t>
  </si>
  <si>
    <t>民495</t>
    <rPh sb="0" eb="1">
      <t>ミン</t>
    </rPh>
    <phoneticPr fontId="2"/>
  </si>
  <si>
    <t>22V024</t>
  </si>
  <si>
    <t>会計課調達室／APEC班</t>
  </si>
  <si>
    <t>田村</t>
    <rPh sb="0" eb="2">
      <t>タムラ</t>
    </rPh>
    <phoneticPr fontId="4"/>
  </si>
  <si>
    <t>「２０１０日本ＡＰＥＣ貿易担当大臣会合（ＭＲＴ）開催に伴う事前準備作業用連絡室」借上契約</t>
    <rPh sb="27" eb="28">
      <t>トモナ</t>
    </rPh>
    <rPh sb="42" eb="44">
      <t>ケイヤク</t>
    </rPh>
    <phoneticPr fontId="4"/>
  </si>
  <si>
    <t>株式会社プリンスホテル</t>
    <phoneticPr fontId="4"/>
  </si>
  <si>
    <t>東京都豊島区南池袋１－６－１５</t>
  </si>
  <si>
    <t>本契約の相手方は、本件会合の会場提供業務も担っており、同施設を使用することが、開催の効率性等を総合的に判断して最適であり、他に競争を許さないため。(会計法第29条の3第4項)</t>
    <rPh sb="1" eb="3">
      <t>ケイヤク</t>
    </rPh>
    <rPh sb="4" eb="7">
      <t>アイテカタ</t>
    </rPh>
    <rPh sb="9" eb="11">
      <t>ホンケン</t>
    </rPh>
    <rPh sb="11" eb="13">
      <t>カイゴウ</t>
    </rPh>
    <rPh sb="14" eb="16">
      <t>カイジョウ</t>
    </rPh>
    <rPh sb="16" eb="18">
      <t>テイキョウ</t>
    </rPh>
    <rPh sb="18" eb="20">
      <t>ギョウム</t>
    </rPh>
    <rPh sb="21" eb="22">
      <t>ニナ</t>
    </rPh>
    <rPh sb="73" eb="87">
      <t>ジョウコウ</t>
    </rPh>
    <phoneticPr fontId="4"/>
  </si>
  <si>
    <t>本件は各省庁の合同契約であり，契約金額1,910,850円のうち，取り決めにより当省負担額は859,882円となっている。</t>
    <rPh sb="0" eb="2">
      <t>ホンケン</t>
    </rPh>
    <rPh sb="3" eb="6">
      <t>カクショウチョウ</t>
    </rPh>
    <rPh sb="7" eb="9">
      <t>ゴウドウ</t>
    </rPh>
    <rPh sb="9" eb="11">
      <t>ケイヤク</t>
    </rPh>
    <rPh sb="15" eb="18">
      <t>ケイヤクキン</t>
    </rPh>
    <rPh sb="18" eb="19">
      <t>ガク</t>
    </rPh>
    <rPh sb="28" eb="29">
      <t>エン</t>
    </rPh>
    <rPh sb="33" eb="34">
      <t>ト</t>
    </rPh>
    <rPh sb="35" eb="36">
      <t>キ</t>
    </rPh>
    <rPh sb="40" eb="42">
      <t>トウショウ</t>
    </rPh>
    <rPh sb="42" eb="45">
      <t>フタンガク</t>
    </rPh>
    <rPh sb="53" eb="54">
      <t>エン</t>
    </rPh>
    <phoneticPr fontId="2"/>
  </si>
  <si>
    <t>22X036</t>
  </si>
  <si>
    <t>天野</t>
  </si>
  <si>
    <t>「平成２２年度海外向けグラフィック広報誌『にぽにか（ｎｉｐｏｎｉｃａ）』作成」業務委嘱</t>
    <rPh sb="17" eb="20">
      <t>コウホウシ</t>
    </rPh>
    <rPh sb="36" eb="38">
      <t>サクセイ</t>
    </rPh>
    <rPh sb="39" eb="41">
      <t>ギョウム</t>
    </rPh>
    <rPh sb="41" eb="43">
      <t>イショク</t>
    </rPh>
    <phoneticPr fontId="4"/>
  </si>
  <si>
    <t>株式会社平凡社</t>
  </si>
  <si>
    <t>東京都文京区白山２－２９－４</t>
  </si>
  <si>
    <t>22G233</t>
  </si>
  <si>
    <t>「対ロシア技術支援日本センター巡回講座／訪日研修事業『人事労務管理（極東部）』」業務委嘱</t>
    <rPh sb="40" eb="42">
      <t>ギョウム</t>
    </rPh>
    <rPh sb="42" eb="44">
      <t>イショク</t>
    </rPh>
    <phoneticPr fontId="4"/>
  </si>
  <si>
    <t>公益財団法人日本生産性本部</t>
    <phoneticPr fontId="4"/>
  </si>
  <si>
    <t>②ア（企画）2</t>
  </si>
  <si>
    <t>22G234</t>
  </si>
  <si>
    <t>「対ロシア技術支援日本センターＯＪＴ研修事業『観光ビジネス（極東部）』」業務委嘱</t>
    <rPh sb="36" eb="38">
      <t>ギョウム</t>
    </rPh>
    <rPh sb="38" eb="40">
      <t>イショク</t>
    </rPh>
    <phoneticPr fontId="4"/>
  </si>
  <si>
    <t>⑥イD緊急</t>
    <rPh sb="3" eb="5">
      <t>キンキュウ</t>
    </rPh>
    <phoneticPr fontId="34"/>
  </si>
  <si>
    <t>22J022</t>
  </si>
  <si>
    <t>儀賓</t>
  </si>
  <si>
    <t>浅川</t>
    <rPh sb="0" eb="2">
      <t>アサカワ</t>
    </rPh>
    <phoneticPr fontId="4"/>
  </si>
  <si>
    <t>カンボジア国王一行接遇（車両借上契約）</t>
    <rPh sb="9" eb="11">
      <t>セツグウ</t>
    </rPh>
    <rPh sb="12" eb="14">
      <t>シャリョウ</t>
    </rPh>
    <rPh sb="14" eb="16">
      <t>カリアゲ</t>
    </rPh>
    <rPh sb="16" eb="18">
      <t>ケイヤク</t>
    </rPh>
    <phoneticPr fontId="4"/>
  </si>
  <si>
    <t>京都観光自動車株式会社</t>
    <phoneticPr fontId="4"/>
  </si>
  <si>
    <t>京都府京都市南区東九条下殿田町５０</t>
  </si>
  <si>
    <t>警備及び日程調整上，至急に請負業者決定する必要があるが，競争入札を行う時間的余裕がないため，過去に同様の業務経験がある同社を本契約相手方とした。（会計法第29条の3第4項）</t>
    <rPh sb="0" eb="2">
      <t>ケイビ</t>
    </rPh>
    <rPh sb="2" eb="3">
      <t>オヨ</t>
    </rPh>
    <rPh sb="6" eb="8">
      <t>チョウセイ</t>
    </rPh>
    <rPh sb="8" eb="9">
      <t>ジョウ</t>
    </rPh>
    <rPh sb="10" eb="12">
      <t>シキュウ</t>
    </rPh>
    <rPh sb="13" eb="15">
      <t>ウケオイ</t>
    </rPh>
    <rPh sb="15" eb="17">
      <t>ギョウシャ</t>
    </rPh>
    <rPh sb="17" eb="19">
      <t>ケッテイ</t>
    </rPh>
    <rPh sb="21" eb="23">
      <t>ヒツヨウ</t>
    </rPh>
    <rPh sb="46" eb="48">
      <t>カコ</t>
    </rPh>
    <rPh sb="59" eb="61">
      <t>ドウシャ</t>
    </rPh>
    <rPh sb="62" eb="63">
      <t>ホン</t>
    </rPh>
    <rPh sb="72" eb="86">
      <t>ジョウコウ</t>
    </rPh>
    <phoneticPr fontId="24"/>
  </si>
  <si>
    <t>⑥イ1</t>
  </si>
  <si>
    <t>22G262</t>
  </si>
  <si>
    <t>亜地政</t>
  </si>
  <si>
    <t>「アジア紛争下での女性尊厳事業（韓国）」業務委嘱</t>
    <rPh sb="20" eb="22">
      <t>ギョウム</t>
    </rPh>
    <rPh sb="22" eb="24">
      <t>イショク</t>
    </rPh>
    <phoneticPr fontId="4"/>
  </si>
  <si>
    <t>特定非営利活動法人ＣＣＳＥＡ朋</t>
    <phoneticPr fontId="4"/>
  </si>
  <si>
    <t>香川県丸亀市綾歌町岡田西１３８９</t>
  </si>
  <si>
    <t>本件は，平成１８年度末で解散した財団法人女性のためのアジア平和国民基金が行っていた事業のフォローアップ調査であり，道義的観点及び人権保護の観点から調査の対象となる個人のプライバシーを守る必要があることから，調査対象となる個人情報を守りつつ本調査を実施できるのは，同基金関係者である本契約の相手方の他になく，他に競争を許さないため（会計法第29条の3第4項）。</t>
  </si>
  <si>
    <t>22Z124</t>
  </si>
  <si>
    <t>大河</t>
    <phoneticPr fontId="4"/>
  </si>
  <si>
    <t>「在外ＬＡＮ機器移設作業」業務委嘱</t>
    <rPh sb="13" eb="15">
      <t>ギョウム</t>
    </rPh>
    <rPh sb="15" eb="17">
      <t>イショク</t>
    </rPh>
    <phoneticPr fontId="4"/>
  </si>
  <si>
    <t>新日鉄ソリューションズ株式会社</t>
    <phoneticPr fontId="4"/>
  </si>
  <si>
    <t>現在稼働中のシステムの移設業務を同システムの開発業者である契約の相手方に委嘱するものであり，通信に障害を及ぼすことなく安定運用を確実に遂行しうる者は他になく，他に競争を許さないため（会計法第29条の3第4項）。</t>
  </si>
  <si>
    <t>22Z129</t>
  </si>
  <si>
    <t>「在外経理システムの業務及びシステムの最適化（改訂版）工程管理支援等のためのコンサルタント」業務委嘱</t>
    <rPh sb="27" eb="29">
      <t>コウテイ</t>
    </rPh>
    <rPh sb="29" eb="31">
      <t>カンリ</t>
    </rPh>
    <rPh sb="31" eb="33">
      <t>シエン</t>
    </rPh>
    <rPh sb="33" eb="34">
      <t>トウ</t>
    </rPh>
    <phoneticPr fontId="4"/>
  </si>
  <si>
    <t>株式会社富士通総研</t>
    <phoneticPr fontId="4"/>
  </si>
  <si>
    <t>東京都港区海岸１－１６－１</t>
  </si>
  <si>
    <t>22W217</t>
  </si>
  <si>
    <t>広文人</t>
  </si>
  <si>
    <t>「留学交流情報システムホームページ『日本語留学総合ガイド』更新・作成等」運営業務委嘱</t>
    <rPh sb="34" eb="35">
      <t>トウ</t>
    </rPh>
    <rPh sb="38" eb="40">
      <t>ギョウム</t>
    </rPh>
    <rPh sb="40" eb="42">
      <t>イショク</t>
    </rPh>
    <phoneticPr fontId="4"/>
  </si>
  <si>
    <t>社団法人海外広報協会</t>
    <phoneticPr fontId="4"/>
  </si>
  <si>
    <t>東京都中央区日本橋堀留町１－５－１１</t>
    <rPh sb="3" eb="6">
      <t>チュウオウク</t>
    </rPh>
    <rPh sb="6" eb="9">
      <t>ニホンバシ</t>
    </rPh>
    <rPh sb="9" eb="10">
      <t>ホリ</t>
    </rPh>
    <rPh sb="10" eb="11">
      <t>ト</t>
    </rPh>
    <rPh sb="11" eb="12">
      <t>チョウ</t>
    </rPh>
    <phoneticPr fontId="4"/>
  </si>
  <si>
    <t>①ア（企画）2</t>
  </si>
  <si>
    <t>22G265</t>
  </si>
  <si>
    <t>「第１０回日韓歴史家会議」開催業務委嘱</t>
    <rPh sb="13" eb="15">
      <t>カイサイ</t>
    </rPh>
    <rPh sb="15" eb="17">
      <t>ギョウム</t>
    </rPh>
    <rPh sb="17" eb="19">
      <t>イショク</t>
    </rPh>
    <phoneticPr fontId="4"/>
  </si>
  <si>
    <t>財団法人日韓文化交流基金</t>
    <phoneticPr fontId="4"/>
  </si>
  <si>
    <t>東京都港区虎ノ門５－１２－１</t>
  </si>
  <si>
    <t>⑥アD継続</t>
    <rPh sb="3" eb="5">
      <t>ケイゾク</t>
    </rPh>
    <phoneticPr fontId="2"/>
  </si>
  <si>
    <t>防護</t>
  </si>
  <si>
    <t>成田</t>
    <rPh sb="0" eb="2">
      <t>ナリタ</t>
    </rPh>
    <phoneticPr fontId="4"/>
  </si>
  <si>
    <t>「外務省施設の保安に関する保守点検」業務委嘱</t>
    <rPh sb="20" eb="22">
      <t>イショク</t>
    </rPh>
    <phoneticPr fontId="4"/>
  </si>
  <si>
    <t>株式会社ゼコー</t>
  </si>
  <si>
    <t>東京都港区麻布台１－１１－４</t>
  </si>
  <si>
    <t>本契約の相手方は，本件設備等の製造メーカー若しくは長期にわたり保守業務を行ってきた実績を有しており，必要な知識・技術力・蓄積されたノウハウの他補修部品の調達能力，緊急時の対応等を含めて優れており，他に競争を許さないため。(会計法第29条の3第4項)</t>
    <rPh sb="0" eb="1">
      <t>ホン</t>
    </rPh>
    <rPh sb="13" eb="14">
      <t>トウ</t>
    </rPh>
    <rPh sb="25" eb="27">
      <t>チョウキ</t>
    </rPh>
    <rPh sb="31" eb="33">
      <t>ホシュ</t>
    </rPh>
    <rPh sb="33" eb="35">
      <t>ギョウム</t>
    </rPh>
    <rPh sb="36" eb="37">
      <t>オコナ</t>
    </rPh>
    <rPh sb="41" eb="43">
      <t>ジッセキ</t>
    </rPh>
    <rPh sb="44" eb="45">
      <t>ユウ</t>
    </rPh>
    <rPh sb="60" eb="62">
      <t>チクセキ</t>
    </rPh>
    <rPh sb="70" eb="71">
      <t>ホカ</t>
    </rPh>
    <rPh sb="71" eb="73">
      <t>ホシュウ</t>
    </rPh>
    <rPh sb="73" eb="75">
      <t>ブヒン</t>
    </rPh>
    <rPh sb="76" eb="78">
      <t>チョウタツ</t>
    </rPh>
    <rPh sb="78" eb="80">
      <t>ノウリョク</t>
    </rPh>
    <rPh sb="81" eb="84">
      <t>キンキュウジ</t>
    </rPh>
    <rPh sb="85" eb="87">
      <t>タイオウ</t>
    </rPh>
    <rPh sb="87" eb="88">
      <t>トウ</t>
    </rPh>
    <rPh sb="89" eb="90">
      <t>フク</t>
    </rPh>
    <rPh sb="92" eb="93">
      <t>スグ</t>
    </rPh>
    <rPh sb="98" eb="99">
      <t>ホカ</t>
    </rPh>
    <rPh sb="100" eb="102">
      <t>キョウソウ</t>
    </rPh>
    <rPh sb="103" eb="104">
      <t>ユル</t>
    </rPh>
    <rPh sb="110" eb="124">
      <t>ジョウコウ</t>
    </rPh>
    <phoneticPr fontId="4"/>
  </si>
  <si>
    <t>民20</t>
    <rPh sb="0" eb="1">
      <t>ミン</t>
    </rPh>
    <phoneticPr fontId="2"/>
  </si>
  <si>
    <t>22W229</t>
  </si>
  <si>
    <t>大河</t>
    <rPh sb="0" eb="2">
      <t>オオカワ</t>
    </rPh>
    <phoneticPr fontId="4"/>
  </si>
  <si>
    <t>「外務省ホームページ翻訳支援事業」業務委嘱</t>
    <rPh sb="17" eb="19">
      <t>ギョウム</t>
    </rPh>
    <rPh sb="19" eb="21">
      <t>イショク</t>
    </rPh>
    <phoneticPr fontId="4"/>
  </si>
  <si>
    <t>株式会社アーバン・コネクションズ</t>
  </si>
  <si>
    <t>東京都渋谷区渋谷３－２７－１１</t>
  </si>
  <si>
    <t>①アAｲ(ﾛ)</t>
    <phoneticPr fontId="4"/>
  </si>
  <si>
    <t>22G249</t>
  </si>
  <si>
    <t>亜中モ</t>
  </si>
  <si>
    <t>「日中歴史共同研究」業務委嘱</t>
    <rPh sb="10" eb="12">
      <t>ギョウム</t>
    </rPh>
    <rPh sb="12" eb="14">
      <t>イショク</t>
    </rPh>
    <phoneticPr fontId="4"/>
  </si>
  <si>
    <t>財団法人日本国際問題研究所</t>
    <phoneticPr fontId="4"/>
  </si>
  <si>
    <t>本契約の相手方は，日中外相会談における合意に基づき，本件事業の日本側事務局に指定されており，他に競争を許さないため（会計法第29条の3第4項）。</t>
  </si>
  <si>
    <t>①ア1</t>
  </si>
  <si>
    <t>22G257</t>
  </si>
  <si>
    <t>「北方四島住民招聘事業」業務委嘱</t>
    <rPh sb="12" eb="14">
      <t>ギョウム</t>
    </rPh>
    <rPh sb="14" eb="16">
      <t>イショク</t>
    </rPh>
    <phoneticPr fontId="4"/>
  </si>
  <si>
    <t>社団法人北方領土復帰期成同盟</t>
    <phoneticPr fontId="4"/>
  </si>
  <si>
    <t>公募を実施した結果，応募が一社のみであり，また審査の結果，業務の適正な履行が可能と認められ，他に競争を許さないため（会計法第29条の3第4項）。</t>
    <rPh sb="14" eb="15">
      <t>シャ</t>
    </rPh>
    <phoneticPr fontId="4"/>
  </si>
  <si>
    <t>民416</t>
    <rPh sb="0" eb="1">
      <t>ミン</t>
    </rPh>
    <phoneticPr fontId="2"/>
  </si>
  <si>
    <t>22X044</t>
  </si>
  <si>
    <t>「２０１１年版海外広報用『生け花カレンダー』製作」業務委嘱</t>
    <rPh sb="5" eb="6">
      <t>ネン</t>
    </rPh>
    <rPh sb="6" eb="7">
      <t>バン</t>
    </rPh>
    <phoneticPr fontId="4"/>
  </si>
  <si>
    <t>株式会社アイネット</t>
  </si>
  <si>
    <t>東京都中央区銀座７－１６－２１</t>
  </si>
  <si>
    <t>22G273</t>
  </si>
  <si>
    <t>新森</t>
    <rPh sb="0" eb="2">
      <t>シンモリ</t>
    </rPh>
    <phoneticPr fontId="4"/>
  </si>
  <si>
    <t>「ＮＧＯ相談員（四国ブロック）」業務委嘱</t>
    <rPh sb="16" eb="18">
      <t>ギョウム</t>
    </rPh>
    <rPh sb="18" eb="20">
      <t>イショク</t>
    </rPh>
    <phoneticPr fontId="4"/>
  </si>
  <si>
    <t>特定非営利活動法人えひめグローバルネットワーク</t>
  </si>
  <si>
    <t>愛媛県松山市祝谷４－１－１３</t>
  </si>
  <si>
    <t>民372</t>
    <rPh sb="0" eb="1">
      <t>ミン</t>
    </rPh>
    <phoneticPr fontId="2"/>
  </si>
  <si>
    <t>「ＮＧＯ相談員（近畿ブロック）」業務委嘱</t>
    <rPh sb="16" eb="18">
      <t>ギョウム</t>
    </rPh>
    <rPh sb="18" eb="20">
      <t>イショク</t>
    </rPh>
    <phoneticPr fontId="4"/>
  </si>
  <si>
    <t>特定非営利活動法人関西ＮＧＯ協議会</t>
  </si>
  <si>
    <t>大阪府大阪市北区茶屋町２－３０</t>
  </si>
  <si>
    <t>民370</t>
    <rPh sb="0" eb="1">
      <t>ミン</t>
    </rPh>
    <phoneticPr fontId="2"/>
  </si>
  <si>
    <t>特定非営利活動法人関西国際交流団体協議会</t>
  </si>
  <si>
    <t>大阪府大阪市天王寺区上本町８－２－６</t>
  </si>
  <si>
    <t>「ＮＧＯ相談員（中部ブロック）」業務委嘱</t>
    <rPh sb="16" eb="18">
      <t>ギョウム</t>
    </rPh>
    <rPh sb="18" eb="20">
      <t>イショク</t>
    </rPh>
    <phoneticPr fontId="4"/>
  </si>
  <si>
    <t>特定非営利活動法人名古屋ＮＧＯセンター</t>
  </si>
  <si>
    <t>愛知県名古屋市中村区松原町１－２４</t>
  </si>
  <si>
    <t>民368</t>
    <rPh sb="0" eb="1">
      <t>ミン</t>
    </rPh>
    <phoneticPr fontId="2"/>
  </si>
  <si>
    <t>「ＮＧＯ相談員（中国ブロック）」業務委嘱</t>
    <rPh sb="16" eb="18">
      <t>ギョウム</t>
    </rPh>
    <rPh sb="18" eb="20">
      <t>イショク</t>
    </rPh>
    <phoneticPr fontId="4"/>
  </si>
  <si>
    <t>特定非営利活動法人ＡＭＤＡ社会開発機構</t>
  </si>
  <si>
    <t>岡山県岡山市北区蕃山町４－５</t>
  </si>
  <si>
    <t>民371</t>
    <rPh sb="0" eb="1">
      <t>ミン</t>
    </rPh>
    <phoneticPr fontId="2"/>
  </si>
  <si>
    <t>「ＮＧＯ相談員制度（東京ブロック「ネットワーク／政策提言／その他」）」</t>
  </si>
  <si>
    <t>特定非営利活動法人国際協力ＮＧＯセンター</t>
  </si>
  <si>
    <t>東京都新宿区西早稲田２－３－１８</t>
  </si>
  <si>
    <t>民379</t>
    <rPh sb="0" eb="1">
      <t>ミン</t>
    </rPh>
    <phoneticPr fontId="2"/>
  </si>
  <si>
    <t>特定非営利活動法人アジア日本相互交流センター</t>
  </si>
  <si>
    <t>「ＮＧＯ相談員（東北ブロック）」業務委嘱</t>
    <rPh sb="16" eb="18">
      <t>ギョウム</t>
    </rPh>
    <rPh sb="18" eb="20">
      <t>イショク</t>
    </rPh>
    <phoneticPr fontId="4"/>
  </si>
  <si>
    <t>特定非営利活動法人国際ボランティアセンター山形</t>
  </si>
  <si>
    <t>山形県山形市荒楯町１－１７－４０</t>
  </si>
  <si>
    <t>民376</t>
    <rPh sb="0" eb="1">
      <t>ミン</t>
    </rPh>
    <phoneticPr fontId="2"/>
  </si>
  <si>
    <t>「ＮＧＯ相談員制度（東京ブロック「開発援助全般／教育支援」）」</t>
  </si>
  <si>
    <t>特定非営利活動法人シャプラニール＝市民による海外協力の会</t>
  </si>
  <si>
    <t>東京都新宿区西早稲田２－３－１</t>
  </si>
  <si>
    <t>「ＮＧＯ相談員（北海道ブロック）」業務委嘱</t>
    <rPh sb="17" eb="19">
      <t>ギョウム</t>
    </rPh>
    <rPh sb="19" eb="21">
      <t>イショク</t>
    </rPh>
    <phoneticPr fontId="4"/>
  </si>
  <si>
    <t>財団法人北海道国際交流センター</t>
  </si>
  <si>
    <t>北海道函館市元町１４－１</t>
  </si>
  <si>
    <t>民375</t>
    <rPh sb="0" eb="1">
      <t>ミン</t>
    </rPh>
    <phoneticPr fontId="2"/>
  </si>
  <si>
    <t>「ＮＧＯ相談員制度（東京ブロック「保健・医療／水・衛生」）」</t>
  </si>
  <si>
    <t>特定非営利活動法人ピースウィンズ・ジャパン</t>
  </si>
  <si>
    <t>東京都港区南青山３－８－３７</t>
  </si>
  <si>
    <t>?</t>
    <phoneticPr fontId="2"/>
  </si>
  <si>
    <t>民407</t>
    <rPh sb="0" eb="1">
      <t>ミン</t>
    </rPh>
    <phoneticPr fontId="2"/>
  </si>
  <si>
    <t>「ＮＧＯ相談員（沖縄ブロック）」業務委嘱</t>
    <rPh sb="16" eb="18">
      <t>ギョウム</t>
    </rPh>
    <rPh sb="18" eb="20">
      <t>イショク</t>
    </rPh>
    <phoneticPr fontId="4"/>
  </si>
  <si>
    <t>特定非営利活動法人沖縄ＮＧＯセンター</t>
  </si>
  <si>
    <t>沖縄県宜野湾市宜野湾３－２３－５２</t>
  </si>
  <si>
    <t>民374</t>
    <rPh sb="0" eb="1">
      <t>ミン</t>
    </rPh>
    <phoneticPr fontId="2"/>
  </si>
  <si>
    <t>「ＮＧＯ相談員（関東ブロック）」業務委嘱</t>
    <rPh sb="16" eb="18">
      <t>ギョウム</t>
    </rPh>
    <rPh sb="18" eb="20">
      <t>イショク</t>
    </rPh>
    <phoneticPr fontId="4"/>
  </si>
  <si>
    <t>特定非営利活動法人横浜ＮＧＯ連絡会</t>
  </si>
  <si>
    <t>神奈川県横浜市中区新港２－３－１</t>
  </si>
  <si>
    <t>「ＮＧＯ相談員（九州ブロック）」業務委嘱</t>
    <rPh sb="16" eb="18">
      <t>ギョウム</t>
    </rPh>
    <rPh sb="18" eb="20">
      <t>イショク</t>
    </rPh>
    <phoneticPr fontId="4"/>
  </si>
  <si>
    <t>特定非営利活動法人ＮＧＯ福岡ネットワーク</t>
  </si>
  <si>
    <t>福岡県福岡市博多区博多駅前３－６－１</t>
  </si>
  <si>
    <t>民373</t>
    <rPh sb="0" eb="1">
      <t>ミン</t>
    </rPh>
    <phoneticPr fontId="2"/>
  </si>
  <si>
    <t>「ＮＧＯ相談員制度（東京ブロック「難民支援／在日外国人支援／マイノリティ（児童，女性，障害者等）支援」）」</t>
  </si>
  <si>
    <t>特定非営利活動法人難民を助ける会</t>
  </si>
  <si>
    <t>東京都品川区上大崎２－１２－２</t>
  </si>
  <si>
    <t>民377</t>
    <rPh sb="0" eb="1">
      <t>ミン</t>
    </rPh>
    <phoneticPr fontId="2"/>
  </si>
  <si>
    <t>財団法人ＰＨＤ協会</t>
  </si>
  <si>
    <t>兵庫県神戸市中央区元町通５－４－３</t>
  </si>
  <si>
    <t>兵庫県</t>
    <rPh sb="0" eb="3">
      <t>ヒョウゴケン</t>
    </rPh>
    <phoneticPr fontId="2"/>
  </si>
  <si>
    <t>「ＮＧＯ相談員制度（東京ブロック「環境／環境（開発）教育／農村開発」）」</t>
  </si>
  <si>
    <t>特定非営利活動法人日本国際ボランティアセンター</t>
  </si>
  <si>
    <t>東京都台東区東上野１－２０－６</t>
  </si>
  <si>
    <t>22V032</t>
  </si>
  <si>
    <t>佐藤</t>
    <rPh sb="0" eb="2">
      <t>サトウ</t>
    </rPh>
    <phoneticPr fontId="4"/>
  </si>
  <si>
    <t>「２０１０年日本ＡＰＥＣ第２回高級実務者会合（ＳＯＭ２）及び貿易担当大臣会合（ＭＲＴ）並びに関連会合」会場借上契約</t>
    <rPh sb="51" eb="52">
      <t>カイ</t>
    </rPh>
    <rPh sb="55" eb="57">
      <t>ケイヤク</t>
    </rPh>
    <phoneticPr fontId="4"/>
  </si>
  <si>
    <t>株式会社プリンスホテル</t>
  </si>
  <si>
    <t>契約の相手方は，当該地域において本会合の規模，警備，立地条件，受入体制など一定の条件を満たす限られた施設の一つであり，他に競争を許さないため。（会計法第29条の3第4項）</t>
    <rPh sb="3" eb="5">
      <t>アイテ</t>
    </rPh>
    <rPh sb="5" eb="6">
      <t>カタ</t>
    </rPh>
    <rPh sb="8" eb="10">
      <t>トウガイ</t>
    </rPh>
    <rPh sb="10" eb="12">
      <t>チイキ</t>
    </rPh>
    <rPh sb="16" eb="17">
      <t>ホン</t>
    </rPh>
    <rPh sb="17" eb="19">
      <t>カイゴウ</t>
    </rPh>
    <rPh sb="20" eb="22">
      <t>キボ</t>
    </rPh>
    <rPh sb="23" eb="25">
      <t>ケイビ</t>
    </rPh>
    <rPh sb="26" eb="28">
      <t>リッチ</t>
    </rPh>
    <rPh sb="28" eb="30">
      <t>ジョウケン</t>
    </rPh>
    <rPh sb="31" eb="33">
      <t>ウケイ</t>
    </rPh>
    <rPh sb="33" eb="35">
      <t>タイセイ</t>
    </rPh>
    <rPh sb="37" eb="39">
      <t>イッテイ</t>
    </rPh>
    <rPh sb="40" eb="42">
      <t>ジョウケン</t>
    </rPh>
    <rPh sb="43" eb="44">
      <t>ミ</t>
    </rPh>
    <rPh sb="46" eb="47">
      <t>カギ</t>
    </rPh>
    <rPh sb="50" eb="52">
      <t>シセツ</t>
    </rPh>
    <rPh sb="53" eb="54">
      <t>ヒト</t>
    </rPh>
    <rPh sb="59" eb="60">
      <t>タ</t>
    </rPh>
    <rPh sb="61" eb="63">
      <t>キョウソウ</t>
    </rPh>
    <rPh sb="64" eb="65">
      <t>ユル</t>
    </rPh>
    <rPh sb="72" eb="75">
      <t>カイケイホウ</t>
    </rPh>
    <rPh sb="75" eb="76">
      <t>ダイ</t>
    </rPh>
    <rPh sb="78" eb="79">
      <t>ジョウ</t>
    </rPh>
    <rPh sb="81" eb="82">
      <t>ダイ</t>
    </rPh>
    <rPh sb="83" eb="84">
      <t>コウ</t>
    </rPh>
    <phoneticPr fontId="4"/>
  </si>
  <si>
    <t>本件は各省庁の合同契約であり，契約金額68,160,094円のうち，取り決めにより当省負担額は30,672,042円となっている。</t>
    <rPh sb="0" eb="2">
      <t>ホンケン</t>
    </rPh>
    <rPh sb="3" eb="6">
      <t>カクショウチョウ</t>
    </rPh>
    <rPh sb="7" eb="9">
      <t>ゴウドウ</t>
    </rPh>
    <rPh sb="9" eb="11">
      <t>ケイヤク</t>
    </rPh>
    <rPh sb="15" eb="18">
      <t>ケイヤクキン</t>
    </rPh>
    <rPh sb="18" eb="19">
      <t>ガク</t>
    </rPh>
    <rPh sb="29" eb="30">
      <t>エン</t>
    </rPh>
    <rPh sb="34" eb="35">
      <t>ト</t>
    </rPh>
    <rPh sb="36" eb="37">
      <t>キ</t>
    </rPh>
    <rPh sb="41" eb="43">
      <t>トウショウ</t>
    </rPh>
    <rPh sb="43" eb="46">
      <t>フタンガク</t>
    </rPh>
    <rPh sb="57" eb="58">
      <t>エン</t>
    </rPh>
    <phoneticPr fontId="2"/>
  </si>
  <si>
    <t>22X054</t>
  </si>
  <si>
    <t>天野</t>
    <rPh sb="0" eb="2">
      <t>アマノ</t>
    </rPh>
    <phoneticPr fontId="4"/>
  </si>
  <si>
    <t>「海外向け政策発信パンフレット作成」業務委嘱</t>
    <rPh sb="15" eb="17">
      <t>サクセイ</t>
    </rPh>
    <rPh sb="18" eb="20">
      <t>ギョウム</t>
    </rPh>
    <rPh sb="20" eb="22">
      <t>イショク</t>
    </rPh>
    <phoneticPr fontId="4"/>
  </si>
  <si>
    <t>株式会社エフビーアイ・コミュニケーションズ</t>
  </si>
  <si>
    <t>東京都渋谷区神宮前２－２６－８</t>
  </si>
  <si>
    <t>総価分
1,417,185円
単価分
5,789,815円</t>
    <rPh sb="0" eb="1">
      <t>ソウ</t>
    </rPh>
    <rPh sb="1" eb="2">
      <t>アタイ</t>
    </rPh>
    <rPh sb="2" eb="3">
      <t>ブン</t>
    </rPh>
    <rPh sb="13" eb="14">
      <t>エン</t>
    </rPh>
    <rPh sb="17" eb="18">
      <t>ブン</t>
    </rPh>
    <rPh sb="28" eb="29">
      <t>エン</t>
    </rPh>
    <phoneticPr fontId="2"/>
  </si>
  <si>
    <t>22G282</t>
  </si>
  <si>
    <t>「ＮＧＯ長期スタディ・プログラム」業務委嘱</t>
    <rPh sb="17" eb="19">
      <t>ギョウム</t>
    </rPh>
    <rPh sb="19" eb="21">
      <t>イショク</t>
    </rPh>
    <phoneticPr fontId="4"/>
  </si>
  <si>
    <t>22V037</t>
  </si>
  <si>
    <t>「２０１０年日本ＡＰＥＣ貿易担当大臣会合（ＭＲＴ）における新千歳空港ターミナルビル会議室」借上契約</t>
    <rPh sb="47" eb="49">
      <t>ケイヤク</t>
    </rPh>
    <phoneticPr fontId="4"/>
  </si>
  <si>
    <t>北海道空港株式会社</t>
  </si>
  <si>
    <t>北海道千歳市美々９８７－２２</t>
  </si>
  <si>
    <t>本件サービスの提供が可能な業者は，本契約の相手方の他になく，他に競争を許さないため。（会計法第29条の3第4項）</t>
    <rPh sb="0" eb="2">
      <t>ホンケン</t>
    </rPh>
    <rPh sb="7" eb="9">
      <t>テイキョウ</t>
    </rPh>
    <rPh sb="10" eb="12">
      <t>カノウ</t>
    </rPh>
    <rPh sb="13" eb="15">
      <t>ギョウシャ</t>
    </rPh>
    <rPh sb="17" eb="20">
      <t>ホンケイヤク</t>
    </rPh>
    <rPh sb="21" eb="24">
      <t>アイテガタ</t>
    </rPh>
    <rPh sb="25" eb="26">
      <t>ホカ</t>
    </rPh>
    <rPh sb="30" eb="31">
      <t>タ</t>
    </rPh>
    <rPh sb="32" eb="34">
      <t>キョウソウ</t>
    </rPh>
    <rPh sb="35" eb="36">
      <t>ユル</t>
    </rPh>
    <rPh sb="42" eb="56">
      <t>ジョウコウ</t>
    </rPh>
    <phoneticPr fontId="4"/>
  </si>
  <si>
    <t>本件は各省庁の合同契約であり，契約金額3,423,525円のうち，取り決めにより当省負担額は1,540,586円となっている。</t>
    <rPh sb="0" eb="2">
      <t>ホンケン</t>
    </rPh>
    <rPh sb="3" eb="6">
      <t>カクショウチョウ</t>
    </rPh>
    <rPh sb="7" eb="9">
      <t>ゴウドウ</t>
    </rPh>
    <rPh sb="9" eb="11">
      <t>ケイヤク</t>
    </rPh>
    <rPh sb="15" eb="18">
      <t>ケイヤクキン</t>
    </rPh>
    <rPh sb="18" eb="19">
      <t>ガク</t>
    </rPh>
    <rPh sb="28" eb="29">
      <t>エン</t>
    </rPh>
    <rPh sb="33" eb="34">
      <t>ト</t>
    </rPh>
    <rPh sb="35" eb="36">
      <t>キ</t>
    </rPh>
    <rPh sb="40" eb="42">
      <t>トウショウ</t>
    </rPh>
    <rPh sb="42" eb="45">
      <t>フタンガク</t>
    </rPh>
    <rPh sb="55" eb="56">
      <t>エン</t>
    </rPh>
    <phoneticPr fontId="2"/>
  </si>
  <si>
    <t>22G236</t>
  </si>
  <si>
    <t>「第４部英語研修（第Ⅱ期）」実施委嘱</t>
    <rPh sb="14" eb="16">
      <t>ジッシ</t>
    </rPh>
    <rPh sb="16" eb="18">
      <t>イショク</t>
    </rPh>
    <phoneticPr fontId="4"/>
  </si>
  <si>
    <t>株式会社アヴァンティスタッフ</t>
    <phoneticPr fontId="4"/>
  </si>
  <si>
    <t>民382</t>
    <rPh sb="0" eb="1">
      <t>ミン</t>
    </rPh>
    <phoneticPr fontId="2"/>
  </si>
  <si>
    <t>22Z139</t>
  </si>
  <si>
    <t>本間</t>
    <rPh sb="0" eb="2">
      <t>ホンマ</t>
    </rPh>
    <phoneticPr fontId="4"/>
  </si>
  <si>
    <t>「基幹通信網関連機器等移設」業務委嘱</t>
    <rPh sb="14" eb="16">
      <t>ギョウム</t>
    </rPh>
    <rPh sb="16" eb="18">
      <t>イショク</t>
    </rPh>
    <phoneticPr fontId="4"/>
  </si>
  <si>
    <t>三菱電機株式会社</t>
    <phoneticPr fontId="4"/>
  </si>
  <si>
    <t>22G284</t>
  </si>
  <si>
    <t>経漁</t>
  </si>
  <si>
    <t>②ア（公募）</t>
    <phoneticPr fontId="4"/>
  </si>
  <si>
    <t>「第６２回ＩＷＣ年次会合（モロッコ：アガディール）における日本政府代表団補助」業務委嘱</t>
    <rPh sb="39" eb="41">
      <t>ギョウム</t>
    </rPh>
    <rPh sb="41" eb="43">
      <t>イショク</t>
    </rPh>
    <phoneticPr fontId="4"/>
  </si>
  <si>
    <t>財団法人日本鯨類研究所</t>
    <phoneticPr fontId="4"/>
  </si>
  <si>
    <t>東京都中央区豊海町４－５</t>
  </si>
  <si>
    <t>公募を実施した結果，応募が一社のみであり，また，審査の結果，業務の適正な履行が可能と認められ，他に競争を許さないため（会計法第29条の3第4項）。</t>
    <rPh sb="13" eb="14">
      <t>イチ</t>
    </rPh>
    <rPh sb="14" eb="15">
      <t>シャ</t>
    </rPh>
    <phoneticPr fontId="4"/>
  </si>
  <si>
    <t>②ア（公募）1</t>
  </si>
  <si>
    <t>田中</t>
    <rPh sb="0" eb="2">
      <t>タナカ</t>
    </rPh>
    <phoneticPr fontId="4"/>
  </si>
  <si>
    <t>「通訳者手配」業務委嘱</t>
    <rPh sb="3" eb="4">
      <t>シャ</t>
    </rPh>
    <rPh sb="4" eb="6">
      <t>テハイ</t>
    </rPh>
    <rPh sb="7" eb="9">
      <t>ギョウム</t>
    </rPh>
    <rPh sb="9" eb="11">
      <t>イショク</t>
    </rPh>
    <phoneticPr fontId="4"/>
  </si>
  <si>
    <t>日本コンベンションサービス株式会社</t>
    <rPh sb="13" eb="17">
      <t>カブシキガイシャ</t>
    </rPh>
    <phoneticPr fontId="4"/>
  </si>
  <si>
    <t>東京都千代田区霞が関１－４－２</t>
  </si>
  <si>
    <t>22V040</t>
  </si>
  <si>
    <t>「日本ＡＰＥＣ貿易担当大臣会合等に係る接遇・連絡調整業務及び会議開催」運営業務委嘱</t>
    <rPh sb="17" eb="18">
      <t>カカ</t>
    </rPh>
    <rPh sb="19" eb="21">
      <t>セツグウ</t>
    </rPh>
    <rPh sb="22" eb="24">
      <t>レンラク</t>
    </rPh>
    <rPh sb="24" eb="26">
      <t>チョウセイ</t>
    </rPh>
    <rPh sb="26" eb="28">
      <t>ギョウム</t>
    </rPh>
    <rPh sb="28" eb="29">
      <t>オヨ</t>
    </rPh>
    <rPh sb="30" eb="32">
      <t>カイギ</t>
    </rPh>
    <rPh sb="32" eb="34">
      <t>カイサイ</t>
    </rPh>
    <rPh sb="35" eb="37">
      <t>ウンエイ</t>
    </rPh>
    <rPh sb="37" eb="39">
      <t>ギョウム</t>
    </rPh>
    <rPh sb="39" eb="41">
      <t>イショク</t>
    </rPh>
    <phoneticPr fontId="4"/>
  </si>
  <si>
    <t>北海道庁</t>
    <rPh sb="3" eb="4">
      <t>チョウ</t>
    </rPh>
    <phoneticPr fontId="4"/>
  </si>
  <si>
    <t>北海道札幌市中央区北三条西６</t>
    <rPh sb="10" eb="11">
      <t>サン</t>
    </rPh>
    <phoneticPr fontId="4"/>
  </si>
  <si>
    <t>日本ＡＰＥＣ貿易担当大臣会合等においては，地元自治体の協力を踏まえることが極めて重要であり，各エコノミーに対する接遇・連絡調整業務等を北海道庁職員に委ねることにより，大きな成果を期待することが出来る。また，基本となる人件費が除かれることから，費用面においても経済的であり，他に競争を許さないため（会計法第29条の3第4項）。</t>
    <rPh sb="136" eb="137">
      <t>タ</t>
    </rPh>
    <rPh sb="138" eb="140">
      <t>キョウソウ</t>
    </rPh>
    <rPh sb="141" eb="142">
      <t>ユル</t>
    </rPh>
    <phoneticPr fontId="4"/>
  </si>
  <si>
    <t>単価契約
本件は各省庁の合同契約であり，契約金額のうち，取り決めにより当省負担額は45%となっている。</t>
    <rPh sb="5" eb="7">
      <t>ホンケン</t>
    </rPh>
    <rPh sb="8" eb="11">
      <t>カクショウチョウ</t>
    </rPh>
    <rPh sb="12" eb="14">
      <t>ゴウドウ</t>
    </rPh>
    <rPh sb="14" eb="16">
      <t>ケイヤク</t>
    </rPh>
    <rPh sb="20" eb="23">
      <t>ケイヤクキン</t>
    </rPh>
    <rPh sb="23" eb="24">
      <t>ガク</t>
    </rPh>
    <rPh sb="28" eb="29">
      <t>ト</t>
    </rPh>
    <rPh sb="30" eb="31">
      <t>キ</t>
    </rPh>
    <rPh sb="35" eb="37">
      <t>トウショウ</t>
    </rPh>
    <rPh sb="37" eb="40">
      <t>フタンガク</t>
    </rPh>
    <phoneticPr fontId="2"/>
  </si>
  <si>
    <t>22V039</t>
  </si>
  <si>
    <t>札幌市役所</t>
    <rPh sb="3" eb="5">
      <t>ヤクショ</t>
    </rPh>
    <phoneticPr fontId="4"/>
  </si>
  <si>
    <t>北海道札幌市中央区北一条西２</t>
    <rPh sb="10" eb="11">
      <t>イチ</t>
    </rPh>
    <phoneticPr fontId="4"/>
  </si>
  <si>
    <t>日本ＡＰＥＣ貿易担当大臣会合等においては，地元自治体の協力を踏まえることが極めて重要であり，各エコノミーに対する接遇・連絡調整業務等を札幌市職員に委ねることにより，大きな成果を期待することが出来る。また，基本となる人件費が除かれることから，費用面においても経済的であり，他に競争を許さないため（会計法第29条の3第4項）。</t>
    <rPh sb="135" eb="136">
      <t>タ</t>
    </rPh>
    <rPh sb="137" eb="139">
      <t>キョウソウ</t>
    </rPh>
    <rPh sb="140" eb="141">
      <t>ユル</t>
    </rPh>
    <phoneticPr fontId="4"/>
  </si>
  <si>
    <t>単価契約
本件は各省庁の合同契約であり，契約金額のうち，取り決めにより当省負担額は45%となっている。</t>
  </si>
  <si>
    <t>22G305</t>
  </si>
  <si>
    <t>広文交</t>
  </si>
  <si>
    <t xml:space="preserve">「文化無償資金協力フォローアップ事業『カンボジア・プノンペン王立大学外国語研究所に対するＬＬ機材』」業務委嘱
</t>
    <rPh sb="50" eb="52">
      <t>ギョウム</t>
    </rPh>
    <rPh sb="52" eb="54">
      <t>イショク</t>
    </rPh>
    <phoneticPr fontId="4"/>
  </si>
  <si>
    <t>Ｊ＆Ｋビジネスソリューション株式会社</t>
    <phoneticPr fontId="4"/>
  </si>
  <si>
    <t>神奈川県横浜市神奈川区守屋町３－１２</t>
  </si>
  <si>
    <t>本件保守用部品の提供が可能な業者は，当該機器の製造業者である本契約の相手方の他になく，他に競争を許さないため（会計法第29条の3第4項）。</t>
  </si>
  <si>
    <t>22G288</t>
    <phoneticPr fontId="4"/>
  </si>
  <si>
    <t>北海道札幌市中央区北一条東１</t>
  </si>
  <si>
    <t>公募を実施した結果，応募が一社のみであり，また，審査の結果業務の適正な履行が可能と認められ，他に競争を許さないため（会計法第29条の3第4項）。</t>
    <rPh sb="14" eb="15">
      <t>シャ</t>
    </rPh>
    <phoneticPr fontId="4"/>
  </si>
  <si>
    <t>⑤アD済</t>
    <rPh sb="3" eb="4">
      <t>ス</t>
    </rPh>
    <phoneticPr fontId="34"/>
  </si>
  <si>
    <t>22M119　　　　　　　　　　　22M120</t>
    <phoneticPr fontId="4"/>
  </si>
  <si>
    <t>当該機器等は今後も一定期間は業務上の使用に耐えられるところ，引き続き現行機器等を賃貸借することが同等物件の新規調達に比べ割安であり，業務効率・運用面から他に競争を許さないため（会計法第29条の3第4項）。</t>
  </si>
  <si>
    <t>⑤ア1</t>
  </si>
  <si>
    <t>(H21.1月26日調査回答）
平成21年度中にﾘｰｽ期限切れとなるため、平成21年度に競争入札により更新予定。</t>
  </si>
  <si>
    <t>民259</t>
    <rPh sb="0" eb="1">
      <t>ミン</t>
    </rPh>
    <phoneticPr fontId="2"/>
  </si>
  <si>
    <t>22V044</t>
    <phoneticPr fontId="4"/>
  </si>
  <si>
    <t>「２０１０年日本ＡＰＥＣ第２回高級実務者会合（ＳＯＭ２）及び関連会合並びに貿易担当大臣会合（ＭＲＴ）」会場借上契約</t>
    <rPh sb="53" eb="55">
      <t>カリアゲ</t>
    </rPh>
    <rPh sb="55" eb="57">
      <t>ケイヤク</t>
    </rPh>
    <phoneticPr fontId="4"/>
  </si>
  <si>
    <t>株式会社コンベンションリンケージ</t>
  </si>
  <si>
    <t>北海道札幌市白石区東札幌六条１－１－１</t>
    <rPh sb="12" eb="13">
      <t>ロク</t>
    </rPh>
    <phoneticPr fontId="4"/>
  </si>
  <si>
    <t>契約の相手方は，当該地域において本件会合の規模，警備，立地条件，受入体制など一定の条件を満たす限られた施設の一つであり，他に競争を許さないため。（会計法第29条の3第4項）</t>
    <rPh sb="3" eb="5">
      <t>アイテ</t>
    </rPh>
    <rPh sb="5" eb="6">
      <t>カタ</t>
    </rPh>
    <rPh sb="8" eb="10">
      <t>トウガイ</t>
    </rPh>
    <rPh sb="10" eb="12">
      <t>チイキ</t>
    </rPh>
    <rPh sb="16" eb="17">
      <t>ホン</t>
    </rPh>
    <rPh sb="17" eb="18">
      <t>ケン</t>
    </rPh>
    <rPh sb="18" eb="20">
      <t>カイゴウ</t>
    </rPh>
    <rPh sb="21" eb="23">
      <t>キボ</t>
    </rPh>
    <rPh sb="24" eb="26">
      <t>ケイビ</t>
    </rPh>
    <rPh sb="27" eb="29">
      <t>リッチ</t>
    </rPh>
    <rPh sb="29" eb="31">
      <t>ジョウケン</t>
    </rPh>
    <rPh sb="32" eb="34">
      <t>ウケイ</t>
    </rPh>
    <rPh sb="34" eb="36">
      <t>タイセイ</t>
    </rPh>
    <rPh sb="38" eb="40">
      <t>イッテイ</t>
    </rPh>
    <rPh sb="41" eb="43">
      <t>ジョウケン</t>
    </rPh>
    <rPh sb="44" eb="45">
      <t>ミ</t>
    </rPh>
    <rPh sb="47" eb="48">
      <t>カギ</t>
    </rPh>
    <rPh sb="51" eb="53">
      <t>シセツ</t>
    </rPh>
    <rPh sb="54" eb="55">
      <t>ヒト</t>
    </rPh>
    <rPh sb="60" eb="61">
      <t>タ</t>
    </rPh>
    <rPh sb="62" eb="64">
      <t>キョウソウ</t>
    </rPh>
    <rPh sb="65" eb="66">
      <t>ユル</t>
    </rPh>
    <rPh sb="73" eb="76">
      <t>カイケイホウ</t>
    </rPh>
    <rPh sb="76" eb="77">
      <t>ダイ</t>
    </rPh>
    <rPh sb="79" eb="80">
      <t>ジョウ</t>
    </rPh>
    <rPh sb="82" eb="83">
      <t>ダイ</t>
    </rPh>
    <rPh sb="84" eb="85">
      <t>コウ</t>
    </rPh>
    <phoneticPr fontId="4"/>
  </si>
  <si>
    <t>本件は各省庁の合同契約であり，契約金額35,571,120円のうち，取り決めにより当省負担額は16,007,004円となっている。</t>
    <rPh sb="0" eb="2">
      <t>ホンケン</t>
    </rPh>
    <rPh sb="3" eb="6">
      <t>カクショウチョウ</t>
    </rPh>
    <rPh sb="7" eb="9">
      <t>ゴウドウ</t>
    </rPh>
    <rPh sb="9" eb="11">
      <t>ケイヤク</t>
    </rPh>
    <rPh sb="15" eb="18">
      <t>ケイヤクキン</t>
    </rPh>
    <rPh sb="18" eb="19">
      <t>ガク</t>
    </rPh>
    <rPh sb="29" eb="30">
      <t>エン</t>
    </rPh>
    <rPh sb="34" eb="35">
      <t>ト</t>
    </rPh>
    <rPh sb="36" eb="37">
      <t>キ</t>
    </rPh>
    <rPh sb="41" eb="43">
      <t>トウショウ</t>
    </rPh>
    <rPh sb="43" eb="46">
      <t>フタンガク</t>
    </rPh>
    <rPh sb="57" eb="58">
      <t>エン</t>
    </rPh>
    <phoneticPr fontId="2"/>
  </si>
  <si>
    <t>22V035</t>
    <phoneticPr fontId="4"/>
  </si>
  <si>
    <t>「日本ＡＰＥＣ貿易担当大臣会合開催に伴う札幌市産業振興センター」借上契約</t>
    <rPh sb="18" eb="19">
      <t>トモナ</t>
    </rPh>
    <rPh sb="32" eb="34">
      <t>カリアゲ</t>
    </rPh>
    <rPh sb="34" eb="36">
      <t>ケイヤク</t>
    </rPh>
    <phoneticPr fontId="4"/>
  </si>
  <si>
    <t>22G260</t>
    <phoneticPr fontId="4"/>
  </si>
  <si>
    <t>「北方四島住民支援事業（患者受入：第１回目）患者の支援及び啓発業務」業務委嘱</t>
    <rPh sb="34" eb="36">
      <t>ギョウム</t>
    </rPh>
    <rPh sb="36" eb="38">
      <t>イショク</t>
    </rPh>
    <phoneticPr fontId="4"/>
  </si>
  <si>
    <t>中標津町役場</t>
    <rPh sb="4" eb="6">
      <t>ヤクバ</t>
    </rPh>
    <phoneticPr fontId="4"/>
  </si>
  <si>
    <t>北海道標津郡中標津町丸山２－２２</t>
  </si>
  <si>
    <t>四島住民に真に必要な支援を実施し，領土問題の啓発を行いながら我が国に対する信頼感を高め，平和条約締結交渉の環境整備に資することが可能なのは，地方公共団体の他になく，他に競争を許さないため（会計法第29条の3第4項）。</t>
  </si>
  <si>
    <t>22G268</t>
    <phoneticPr fontId="4"/>
  </si>
  <si>
    <t>「北方四島住民支援事業（患者受入：第１回目）治療業務」業務委嘱</t>
    <rPh sb="27" eb="29">
      <t>ギョウム</t>
    </rPh>
    <rPh sb="29" eb="31">
      <t>イショク</t>
    </rPh>
    <phoneticPr fontId="4"/>
  </si>
  <si>
    <t>町立中標津病院</t>
  </si>
  <si>
    <t>北海道標津郡中標津町西１０条南９－１－１－１</t>
  </si>
  <si>
    <t>本件契約は，移送される患者の身体的負担にかんがみ，適切な治療・診断を行うことのできる施設及び医師を擁し，患者の病院までの移送距離が短いことが必要不可欠である。同病院は移動時間１時間以内に入院治療が可能であり，かつ事前に初診診断のできない入院患者への治療行為を行うことができることから，他に競争を許さないため（会計法第29条の3第4項）。</t>
  </si>
  <si>
    <t>民380</t>
    <rPh sb="0" eb="1">
      <t>ミン</t>
    </rPh>
    <phoneticPr fontId="2"/>
  </si>
  <si>
    <t>22G268</t>
  </si>
  <si>
    <t>市立根室病院</t>
  </si>
  <si>
    <t>北海道根室市有磯町１－２</t>
  </si>
  <si>
    <t>⑥アAﾛ</t>
    <phoneticPr fontId="4"/>
  </si>
  <si>
    <t>22J042</t>
    <phoneticPr fontId="4"/>
  </si>
  <si>
    <t>中国国務院総理一行接遇（受入行事関係業務委嘱）</t>
    <rPh sb="9" eb="11">
      <t>セツグウ</t>
    </rPh>
    <rPh sb="12" eb="14">
      <t>ウケイレ</t>
    </rPh>
    <rPh sb="14" eb="16">
      <t>ギョウジ</t>
    </rPh>
    <rPh sb="16" eb="18">
      <t>カンケイ</t>
    </rPh>
    <rPh sb="18" eb="20">
      <t>ギョウム</t>
    </rPh>
    <rPh sb="20" eb="22">
      <t>イショク</t>
    </rPh>
    <phoneticPr fontId="4"/>
  </si>
  <si>
    <t>株式会社ニューオータニ</t>
  </si>
  <si>
    <t>東京都千代田区紀尾井町４－１</t>
  </si>
  <si>
    <t>賓客政府側の希望を踏まえ，警備，立地条件，受入体制などを総合的に判断して最適であり他に競争を許さないため（会計法第29条の3第4項）。</t>
  </si>
  <si>
    <t>22W246</t>
  </si>
  <si>
    <t>小林</t>
  </si>
  <si>
    <t>「コンテンツアナリシス」購読契約</t>
    <rPh sb="12" eb="14">
      <t>コウドク</t>
    </rPh>
    <rPh sb="14" eb="16">
      <t>ケイヤク</t>
    </rPh>
    <phoneticPr fontId="4"/>
  </si>
  <si>
    <t>特定非営利活動法人岡崎研究所</t>
    <phoneticPr fontId="4"/>
  </si>
  <si>
    <t>東京都港区虎ノ門１－１５－１６</t>
  </si>
  <si>
    <t>本件サービスの提供が可能な業者は、本契約の相手方の他になく、他に競争を許さないため。(会計法第29条の3第4項)</t>
  </si>
  <si>
    <t>-</t>
  </si>
  <si>
    <t>平成20年度より購読</t>
    <rPh sb="0" eb="2">
      <t>ヘイセイ</t>
    </rPh>
    <rPh sb="4" eb="6">
      <t>ネンド</t>
    </rPh>
    <rPh sb="8" eb="10">
      <t>コウドク</t>
    </rPh>
    <phoneticPr fontId="34"/>
  </si>
  <si>
    <t>22G325</t>
  </si>
  <si>
    <t>浅川</t>
  </si>
  <si>
    <t>「東アジア・シンクタンク・ネットワーク食料安全保障作業部会」開催業務委嘱</t>
    <rPh sb="34" eb="36">
      <t>イショク</t>
    </rPh>
    <phoneticPr fontId="4"/>
  </si>
  <si>
    <t>財団法人日本国際フォーラム</t>
    <phoneticPr fontId="4"/>
  </si>
  <si>
    <t>東京都港区赤坂２－１７－１２</t>
  </si>
  <si>
    <t>企画競争の結果同社が最も高い評価を得て確実な業務の履行が可能であると認められ，他に競争を許さないため（会計法第29条の3第4項）。</t>
  </si>
  <si>
    <t>①アAｲ(ﾛ)</t>
  </si>
  <si>
    <t>22G286</t>
  </si>
  <si>
    <t>総安</t>
  </si>
  <si>
    <t>成田</t>
  </si>
  <si>
    <t>「『アジア太平洋安全保障協力会議』についての研究」業務委嘱</t>
    <rPh sb="27" eb="29">
      <t>イショク</t>
    </rPh>
    <phoneticPr fontId="4"/>
  </si>
  <si>
    <t>本契約の相手方は本件事業の事務局を務めており，他に競争を許さないため（会計法第29条の3第4項）。</t>
  </si>
  <si>
    <t>法76</t>
    <rPh sb="0" eb="1">
      <t>ホウ</t>
    </rPh>
    <phoneticPr fontId="2"/>
  </si>
  <si>
    <t>22V054</t>
  </si>
  <si>
    <t>佐藤</t>
  </si>
  <si>
    <t>「２０１０年日本ＡＰＥＣ貿易担当大臣会合開催に伴う各エコノミー閣僚等宿舎等」借上契約</t>
    <rPh sb="36" eb="37">
      <t>トウ</t>
    </rPh>
    <rPh sb="40" eb="42">
      <t>ケイヤク</t>
    </rPh>
    <phoneticPr fontId="4"/>
  </si>
  <si>
    <t>札幌プリンスホテル</t>
  </si>
  <si>
    <t>北海道札幌市中央区南２条西１１</t>
  </si>
  <si>
    <t>本件は北海道及び札幌市からの推薦に基づく札幌市内の利用可能なホテルを対象とし，各エコノミーの希望に基づき契約した案件であり，他に競争を許さないため（会計法第29条の3第4項）。</t>
  </si>
  <si>
    <t>本件は各省庁による合同契約であり，契約金額1,274,750円のうち，取り決めにより当省負担額は573,637円となっている</t>
  </si>
  <si>
    <t>22G328</t>
  </si>
  <si>
    <t>③ア（公募）</t>
    <phoneticPr fontId="4"/>
  </si>
  <si>
    <t>「北方四島住民招聘事業（青少年：兵庫）」業務委嘱</t>
    <rPh sb="20" eb="22">
      <t>ギョウム</t>
    </rPh>
    <rPh sb="22" eb="24">
      <t>イショク</t>
    </rPh>
    <phoneticPr fontId="4"/>
  </si>
  <si>
    <t>独立行政法人北方領土問題対策協会</t>
  </si>
  <si>
    <t>東京都台東区北上野１－９－１２</t>
  </si>
  <si>
    <t>公募を実施した結果，応募が一社のみであり，また審査の結果，業務の適正な履行が可能と認められ，他に競争を許さないため（会計法第29条の3第4項）。</t>
    <rPh sb="13" eb="14">
      <t>イチ</t>
    </rPh>
    <phoneticPr fontId="4"/>
  </si>
  <si>
    <t>③ア（公募）1</t>
  </si>
  <si>
    <t>法6</t>
    <rPh sb="0" eb="1">
      <t>ホウ</t>
    </rPh>
    <phoneticPr fontId="2"/>
  </si>
  <si>
    <t>22G318</t>
  </si>
  <si>
    <t>「北方四島住民支援事業（患者受入：第２回目）患者の支援及び啓発業務」業務委嘱</t>
    <rPh sb="31" eb="33">
      <t>ギョウム</t>
    </rPh>
    <rPh sb="34" eb="36">
      <t>ギョウム</t>
    </rPh>
    <rPh sb="36" eb="38">
      <t>イショク</t>
    </rPh>
    <phoneticPr fontId="4"/>
  </si>
  <si>
    <t>根室市役所</t>
  </si>
  <si>
    <t>22X046</t>
  </si>
  <si>
    <t>「外交専門誌の編集・出版等」業務委嘱</t>
    <rPh sb="16" eb="18">
      <t>イショク</t>
    </rPh>
    <phoneticPr fontId="4"/>
  </si>
  <si>
    <t>株式会社時事通信出版局</t>
  </si>
  <si>
    <t>22G350</t>
  </si>
  <si>
    <t>「北方四島医療支援促進事業」業務委嘱</t>
    <rPh sb="14" eb="16">
      <t>ギョウム</t>
    </rPh>
    <rPh sb="16" eb="18">
      <t>イショク</t>
    </rPh>
    <phoneticPr fontId="4"/>
  </si>
  <si>
    <t>社団法人千島歯舞諸島居住者連盟</t>
  </si>
  <si>
    <t>北海道札幌市中央区北一条東１－２</t>
  </si>
  <si>
    <t>22Z157</t>
  </si>
  <si>
    <t>22Z153</t>
  </si>
  <si>
    <t>「メールサーバ復旧作業」業務委嘱</t>
    <rPh sb="12" eb="14">
      <t>ギョウム</t>
    </rPh>
    <rPh sb="14" eb="16">
      <t>イショク</t>
    </rPh>
    <phoneticPr fontId="4"/>
  </si>
  <si>
    <t>在外公館課／営繕室</t>
  </si>
  <si>
    <t>古田土</t>
  </si>
  <si>
    <t>「在スーダン日本国大使公邸新営計画に係る設計業務」業務委託</t>
    <rPh sb="25" eb="27">
      <t>ギョウム</t>
    </rPh>
    <rPh sb="27" eb="29">
      <t>イタク</t>
    </rPh>
    <phoneticPr fontId="4"/>
  </si>
  <si>
    <t>株式会社毛利建築設設計事務所</t>
    <rPh sb="7" eb="8">
      <t>チク</t>
    </rPh>
    <phoneticPr fontId="4"/>
  </si>
  <si>
    <t>東京都中央区日本橋本町３－４－７</t>
  </si>
  <si>
    <t>22M109</t>
  </si>
  <si>
    <t>「査証事務支援システムの保守点検」業務委嘱</t>
    <phoneticPr fontId="4"/>
  </si>
  <si>
    <t>⑥アAﾆ(ﾍ)</t>
    <phoneticPr fontId="4"/>
  </si>
  <si>
    <t>22J048</t>
  </si>
  <si>
    <t>アフガニスタン大統領一行接遇（宿舎等契約）</t>
    <rPh sb="10" eb="12">
      <t>イッコウ</t>
    </rPh>
    <rPh sb="12" eb="14">
      <t>セツグウ</t>
    </rPh>
    <rPh sb="15" eb="17">
      <t>シュクシャ</t>
    </rPh>
    <rPh sb="17" eb="18">
      <t>トウ</t>
    </rPh>
    <rPh sb="18" eb="20">
      <t>ケイヤク</t>
    </rPh>
    <phoneticPr fontId="4"/>
  </si>
  <si>
    <t>株式会社帝国ホテル</t>
  </si>
  <si>
    <t>東京都千代田区内幸町１－１－１</t>
  </si>
  <si>
    <t>賓客政府側の希望を踏まえ，警備，立地条件，受入体制などを総合的に判断して最適であり，他に競争を許さないため（会計法第29条の3第4項）。</t>
  </si>
  <si>
    <t>22W232</t>
  </si>
  <si>
    <t>「Ｗｅｂ　Ｊａｐａｎホームページ（各コンテンツの制作・改訂）」業務委嘱</t>
    <rPh sb="17" eb="18">
      <t>カク</t>
    </rPh>
    <rPh sb="31" eb="33">
      <t>ギョウム</t>
    </rPh>
    <rPh sb="33" eb="35">
      <t>イショク</t>
    </rPh>
    <phoneticPr fontId="4"/>
  </si>
  <si>
    <t>22Z159</t>
  </si>
  <si>
    <t>信</t>
    <rPh sb="0" eb="1">
      <t>シン</t>
    </rPh>
    <phoneticPr fontId="2"/>
  </si>
  <si>
    <t>「基幹通信網関連機器等の移設作業」業務委嘱</t>
    <rPh sb="17" eb="19">
      <t>ギョウム</t>
    </rPh>
    <rPh sb="19" eb="21">
      <t>イショク</t>
    </rPh>
    <phoneticPr fontId="4"/>
  </si>
  <si>
    <t>現在稼働中のシステム機器等の移設業務を同システムの開発業者である契約の相手方に委嘱するものであり，通信に障害を及ぼすことなく安定運用を確実に遂行しうる者は他になく，他に競争を許さないため（会計法第29条の3第4項）。</t>
  </si>
  <si>
    <t>22G365</t>
  </si>
  <si>
    <t>「北方四島医師・看護師等研修事業」業務委嘱</t>
    <rPh sb="17" eb="19">
      <t>ギョウム</t>
    </rPh>
    <rPh sb="19" eb="21">
      <t>イショク</t>
    </rPh>
    <phoneticPr fontId="4"/>
  </si>
  <si>
    <t>22G085</t>
  </si>
  <si>
    <t>北米１</t>
  </si>
  <si>
    <t>「新日系人招へいプログラム事業」業務委嘱</t>
    <rPh sb="18" eb="20">
      <t>イショク</t>
    </rPh>
    <phoneticPr fontId="4"/>
  </si>
  <si>
    <t>社団法人国際フレンドシップ協会</t>
    <rPh sb="0" eb="4">
      <t>シャダンホウジン</t>
    </rPh>
    <phoneticPr fontId="4"/>
  </si>
  <si>
    <t>22X051</t>
  </si>
  <si>
    <t>「海外向け政策論調発信ウェブ版電子雑誌（英語及び中国語）の制作・運営及び管理」業務委嘱</t>
    <rPh sb="39" eb="41">
      <t>ギョウム</t>
    </rPh>
    <rPh sb="41" eb="43">
      <t>イショク</t>
    </rPh>
    <phoneticPr fontId="4"/>
  </si>
  <si>
    <t>株式会社ジャパンエコー社</t>
    <rPh sb="0" eb="4">
      <t>カブシキガイシャ</t>
    </rPh>
    <phoneticPr fontId="4"/>
  </si>
  <si>
    <t>22G362</t>
  </si>
  <si>
    <t>「北方四島住民支援事業（患者受入：第２回目）治療業務」業務委嘱</t>
    <rPh sb="24" eb="26">
      <t>ギョウム</t>
    </rPh>
    <rPh sb="29" eb="31">
      <t>イショク</t>
    </rPh>
    <phoneticPr fontId="4"/>
  </si>
  <si>
    <t>22G363</t>
  </si>
  <si>
    <t>「北方四島住民支援事業（患者受入：第２回目）患者の支援及び啓発業務」業務委嘱</t>
    <rPh sb="34" eb="36">
      <t>ギョウム</t>
    </rPh>
    <rPh sb="36" eb="38">
      <t>イショク</t>
    </rPh>
    <phoneticPr fontId="4"/>
  </si>
  <si>
    <t>中標津町役場</t>
    <phoneticPr fontId="4"/>
  </si>
  <si>
    <t>「北方四島住民支援事業（患者受入：第２回目）治療業務」業務委嘱</t>
    <rPh sb="27" eb="29">
      <t>ギョウム</t>
    </rPh>
    <rPh sb="29" eb="31">
      <t>イショク</t>
    </rPh>
    <phoneticPr fontId="4"/>
  </si>
  <si>
    <t>北海道標津郡中標津町西１０条南９－１－１</t>
  </si>
  <si>
    <t>22G389</t>
  </si>
  <si>
    <t>「対ロシア技術支援日本センター巡回講座／訪日研修事業『環境ビジネス（欧露部）』業務委嘱</t>
    <rPh sb="39" eb="41">
      <t>ギョウム</t>
    </rPh>
    <rPh sb="41" eb="43">
      <t>イショク</t>
    </rPh>
    <phoneticPr fontId="4"/>
  </si>
  <si>
    <t>日露エコノミックスセンター株式会社</t>
  </si>
  <si>
    <t>東京都杉並区高円寺南１－７－１</t>
  </si>
  <si>
    <t>22W065</t>
  </si>
  <si>
    <t xml:space="preserve">①東京センチュリーリース株式会社
②株式会社富士通ビジネスシステム </t>
  </si>
  <si>
    <t>①東京都港区浜松町２－４－１
②東京都文京区後楽１－７－２７</t>
  </si>
  <si>
    <t>現在稼働中のシステムに導入しているソフトウェアのライセンスの調達及びその保守業務を同ソフトの開発業者である契約の相手方に委嘱するものであり，通信に障害を及ぼすことなく安定運用を確実に遂行しうる者は他になく，他に競争を許さないため（会計法第29条の3第4項）。</t>
  </si>
  <si>
    <t>⑥ア2</t>
  </si>
  <si>
    <t>髙橋</t>
  </si>
  <si>
    <t>「在ホーチミン日本国総領事館事務所新営工事に係る設計意図伝達業務（第１期）」業務委託</t>
    <rPh sb="7" eb="10">
      <t>ニホンコク</t>
    </rPh>
    <rPh sb="38" eb="40">
      <t>ギョウム</t>
    </rPh>
    <rPh sb="40" eb="42">
      <t>イタク</t>
    </rPh>
    <phoneticPr fontId="4"/>
  </si>
  <si>
    <t>株式会社松田平田設計</t>
  </si>
  <si>
    <t>東京都港区元赤坂１－５－１７</t>
  </si>
  <si>
    <t>本件業務の遂行が可能な業者は，本件工事に係る設計業務の委託業者である本契約の相手方の他になく，他に競争を許さないため（会計法第29条の3第4項）。</t>
    <rPh sb="0" eb="2">
      <t>ホンケン</t>
    </rPh>
    <rPh sb="2" eb="4">
      <t>ギョウム</t>
    </rPh>
    <rPh sb="5" eb="7">
      <t>スイコウ</t>
    </rPh>
    <rPh sb="8" eb="10">
      <t>カノウ</t>
    </rPh>
    <rPh sb="11" eb="13">
      <t>ギョウシャ</t>
    </rPh>
    <rPh sb="15" eb="17">
      <t>ホンケン</t>
    </rPh>
    <rPh sb="17" eb="19">
      <t>コウジ</t>
    </rPh>
    <rPh sb="20" eb="21">
      <t>カカ</t>
    </rPh>
    <rPh sb="22" eb="24">
      <t>セッケイ</t>
    </rPh>
    <rPh sb="24" eb="26">
      <t>ギョウム</t>
    </rPh>
    <rPh sb="27" eb="29">
      <t>イタク</t>
    </rPh>
    <rPh sb="29" eb="31">
      <t>ギョウシャ</t>
    </rPh>
    <rPh sb="47" eb="48">
      <t>タ</t>
    </rPh>
    <rPh sb="49" eb="51">
      <t>キョウソウ</t>
    </rPh>
    <rPh sb="52" eb="53">
      <t>ユル</t>
    </rPh>
    <phoneticPr fontId="4"/>
  </si>
  <si>
    <t>22G397</t>
  </si>
  <si>
    <t>「北方四島住民支援事業（患者受入：第３回目）患者の支援及び啓発業務」業務委嘱</t>
    <rPh sb="34" eb="36">
      <t>ギョウム</t>
    </rPh>
    <rPh sb="36" eb="38">
      <t>イショク</t>
    </rPh>
    <phoneticPr fontId="4"/>
  </si>
  <si>
    <t>22G412</t>
  </si>
  <si>
    <t>「北方四島住民招聘事業（青少年：根室）」業務委嘱</t>
    <rPh sb="20" eb="22">
      <t>ギョウム</t>
    </rPh>
    <rPh sb="22" eb="24">
      <t>イショク</t>
    </rPh>
    <phoneticPr fontId="4"/>
  </si>
  <si>
    <t>公募を実施した結果，応募が一社のみであり，また，審査の結果業務の適正な履行が可能と認められ，他に競争を許さないため（会計法第29条の3第4項）。</t>
  </si>
  <si>
    <t>①ア（公募）0</t>
  </si>
  <si>
    <t>06-27</t>
    <phoneticPr fontId="4"/>
  </si>
  <si>
    <t>「外務省施設の保安に関する保守点検」業務委嘱</t>
    <rPh sb="18" eb="20">
      <t>ギョウム</t>
    </rPh>
    <rPh sb="20" eb="22">
      <t>イショク</t>
    </rPh>
    <phoneticPr fontId="4"/>
  </si>
  <si>
    <t>東京都港区麻布台１－１１－４</t>
    <rPh sb="0" eb="3">
      <t>トウキョウト</t>
    </rPh>
    <phoneticPr fontId="4"/>
  </si>
  <si>
    <t>本契約の相手方は、本件設備等の製造メーカー若しくは長期にわたり保守業務を行ってきた実績を有しており、必要な知識・技術力・蓄積されたノウハウの他補修部品の調達能力、緊急時の対応等を含めて優れており、他に競争を許さないため。(会計法第29条の3第4項)</t>
    <rPh sb="0" eb="1">
      <t>ホン</t>
    </rPh>
    <rPh sb="13" eb="14">
      <t>トウ</t>
    </rPh>
    <rPh sb="25" eb="27">
      <t>チョウキ</t>
    </rPh>
    <rPh sb="31" eb="33">
      <t>ホシュ</t>
    </rPh>
    <rPh sb="33" eb="35">
      <t>ギョウム</t>
    </rPh>
    <rPh sb="36" eb="37">
      <t>オコナ</t>
    </rPh>
    <rPh sb="41" eb="43">
      <t>ジッセキ</t>
    </rPh>
    <rPh sb="44" eb="45">
      <t>ユウ</t>
    </rPh>
    <rPh sb="60" eb="62">
      <t>チクセキ</t>
    </rPh>
    <rPh sb="70" eb="71">
      <t>ホカ</t>
    </rPh>
    <rPh sb="71" eb="73">
      <t>ホシュウ</t>
    </rPh>
    <rPh sb="73" eb="75">
      <t>ブヒン</t>
    </rPh>
    <rPh sb="76" eb="78">
      <t>チョウタツ</t>
    </rPh>
    <rPh sb="78" eb="80">
      <t>ノウリョク</t>
    </rPh>
    <rPh sb="81" eb="84">
      <t>キンキュウジ</t>
    </rPh>
    <rPh sb="85" eb="87">
      <t>タイオウ</t>
    </rPh>
    <rPh sb="87" eb="88">
      <t>トウ</t>
    </rPh>
    <rPh sb="89" eb="90">
      <t>フク</t>
    </rPh>
    <rPh sb="92" eb="93">
      <t>スグ</t>
    </rPh>
    <rPh sb="98" eb="99">
      <t>ホカ</t>
    </rPh>
    <rPh sb="100" eb="102">
      <t>キョウソウ</t>
    </rPh>
    <rPh sb="103" eb="104">
      <t>ユル</t>
    </rPh>
    <rPh sb="110" eb="124">
      <t>ジョウコウ</t>
    </rPh>
    <phoneticPr fontId="4"/>
  </si>
  <si>
    <t>22J919</t>
  </si>
  <si>
    <t>福田</t>
    <rPh sb="0" eb="2">
      <t>フクダ</t>
    </rPh>
    <phoneticPr fontId="4"/>
  </si>
  <si>
    <t>「第三国定住により受け入れる難民の定住支援のためのパイロット事業」業務委嘱</t>
    <rPh sb="33" eb="35">
      <t>ギョウム</t>
    </rPh>
    <rPh sb="35" eb="37">
      <t>イショク</t>
    </rPh>
    <phoneticPr fontId="4"/>
  </si>
  <si>
    <t>公募を実施した結果，応募が１者のみであり，また，審査の結果業務の適正な履行が可能と認められ，他に競争を許さないため（会計法第29条の3第4項）。</t>
    <rPh sb="14" eb="15">
      <t>シャ</t>
    </rPh>
    <phoneticPr fontId="4"/>
  </si>
  <si>
    <t>22G190</t>
  </si>
  <si>
    <t>「ＮＧＯによるテーマ別能力向上プログラム（ＮＧＯ研究会）『企業との連携』」業務委嘱</t>
    <rPh sb="37" eb="39">
      <t>ギョウム</t>
    </rPh>
    <rPh sb="39" eb="41">
      <t>イショク</t>
    </rPh>
    <phoneticPr fontId="4"/>
  </si>
  <si>
    <t>22G188</t>
  </si>
  <si>
    <t>「ＮＧＯによるテーマ別能力向上プログラム（ＮＧＯ研究会）『環境』」業務委嘱</t>
    <rPh sb="33" eb="35">
      <t>ギョウム</t>
    </rPh>
    <rPh sb="35" eb="37">
      <t>イショク</t>
    </rPh>
    <phoneticPr fontId="4"/>
  </si>
  <si>
    <t>22G189</t>
  </si>
  <si>
    <t>「ＮＧＯによるテーマ別能力向上プログラム（ＮＧＯ研究会）『マイノリティ支援』」業務委嘱</t>
    <rPh sb="39" eb="41">
      <t>ギョウム</t>
    </rPh>
    <rPh sb="41" eb="43">
      <t>イショク</t>
    </rPh>
    <phoneticPr fontId="4"/>
  </si>
  <si>
    <t>特定非営利活動法人難民支援協会</t>
  </si>
  <si>
    <t>東京都新宿区四谷１－７－１０</t>
  </si>
  <si>
    <t>22V089</t>
  </si>
  <si>
    <t>「ＡＰＥＣ事務局員用パソコンのマスタシステム作成作業等」業務委嘱</t>
    <rPh sb="28" eb="30">
      <t>ギョウム</t>
    </rPh>
    <rPh sb="30" eb="32">
      <t>イショク</t>
    </rPh>
    <phoneticPr fontId="34"/>
  </si>
  <si>
    <t>現在稼働中のシステムにおけるパソコンのマスタ展開業務を同システムの開発業者である契約の相手方に委嘱するものであり，通信に障害を及ぼすことなく安定運用を確実に遂行しうる者は他になく，他に競争を許さないため。（会計法第29条の3第4項）</t>
    <rPh sb="90" eb="91">
      <t>タ</t>
    </rPh>
    <phoneticPr fontId="4"/>
  </si>
  <si>
    <t>22G368</t>
  </si>
  <si>
    <t>「非英語研修職員に対する夏期英語集中研修」実施委嘱</t>
    <rPh sb="21" eb="23">
      <t>ジッシ</t>
    </rPh>
    <rPh sb="23" eb="25">
      <t>イショク</t>
    </rPh>
    <phoneticPr fontId="4"/>
  </si>
  <si>
    <t>民418</t>
    <rPh sb="0" eb="1">
      <t>ミン</t>
    </rPh>
    <phoneticPr fontId="2"/>
  </si>
  <si>
    <t>22X063</t>
  </si>
  <si>
    <t>「『グローバルフェスタＪＡＰＡＮ２０１０』ＮＧＯ事務局」運営業務委嘱</t>
    <rPh sb="28" eb="30">
      <t>ウンエイ</t>
    </rPh>
    <phoneticPr fontId="4"/>
  </si>
  <si>
    <t>本件業務は，その業務内容及び性質により，グローバルフェスタＪＡＰＡＮ２０１０の共催者である同団体のみが行い得る業務であり，他に競争を許さないため（会計法第29条の3第4項）。</t>
    <rPh sb="61" eb="62">
      <t>タ</t>
    </rPh>
    <phoneticPr fontId="4"/>
  </si>
  <si>
    <t>22J901</t>
  </si>
  <si>
    <t>「『国際開発指導者育成高等教育事業』（修士課程：国際開発（ＩＤＳ）プログラム）企画・運営」業務委嘱</t>
    <rPh sb="45" eb="47">
      <t>ギョウム</t>
    </rPh>
    <rPh sb="47" eb="49">
      <t>イショク</t>
    </rPh>
    <phoneticPr fontId="4"/>
  </si>
  <si>
    <t>財団法人国際開発高等教育機構</t>
    <phoneticPr fontId="4"/>
  </si>
  <si>
    <t>東京都千代田区九段南１－６－１７</t>
  </si>
  <si>
    <t>公募を実施した結果，応募が１者のみであり，また，審査の結果，当該業務の適正な遂行が可能と認められ，他に競争を許さないため。（会計法第29条の3第4項）</t>
    <rPh sb="14" eb="15">
      <t>シャ</t>
    </rPh>
    <phoneticPr fontId="4"/>
  </si>
  <si>
    <t>「２０１０年日本ＡＰＥＣ公式ホームページ企画・制作」業務委嘱</t>
    <rPh sb="26" eb="28">
      <t>ギョウム</t>
    </rPh>
    <rPh sb="28" eb="30">
      <t>イショク</t>
    </rPh>
    <phoneticPr fontId="4"/>
  </si>
  <si>
    <t>本件は各省庁による合同入札であり、契約金額のうち取り決めにより当省負担額は契約金額の４５％となっている。企画・制作：26,721,450円　　　　頁更新：10,857円</t>
    <rPh sb="0" eb="2">
      <t>ホンケン</t>
    </rPh>
    <rPh sb="3" eb="6">
      <t>カクショウチョウ</t>
    </rPh>
    <rPh sb="9" eb="11">
      <t>ゴウドウ</t>
    </rPh>
    <rPh sb="11" eb="13">
      <t>ニュウサツ</t>
    </rPh>
    <rPh sb="17" eb="19">
      <t>ケイヤク</t>
    </rPh>
    <rPh sb="19" eb="21">
      <t>キンガク</t>
    </rPh>
    <rPh sb="24" eb="25">
      <t>ト</t>
    </rPh>
    <rPh sb="26" eb="27">
      <t>キ</t>
    </rPh>
    <rPh sb="31" eb="32">
      <t>トウ</t>
    </rPh>
    <rPh sb="32" eb="33">
      <t>ショウ</t>
    </rPh>
    <rPh sb="33" eb="36">
      <t>フタンガク</t>
    </rPh>
    <rPh sb="37" eb="40">
      <t>ケイヤクキン</t>
    </rPh>
    <rPh sb="40" eb="41">
      <t>ガク</t>
    </rPh>
    <rPh sb="52" eb="54">
      <t>キカク</t>
    </rPh>
    <rPh sb="55" eb="57">
      <t>セイサク</t>
    </rPh>
    <rPh sb="68" eb="69">
      <t>エン</t>
    </rPh>
    <rPh sb="73" eb="74">
      <t>ページ</t>
    </rPh>
    <rPh sb="74" eb="76">
      <t>コウシン</t>
    </rPh>
    <rPh sb="83" eb="84">
      <t>エン</t>
    </rPh>
    <phoneticPr fontId="4"/>
  </si>
  <si>
    <t>×（移行済）</t>
    <rPh sb="2" eb="4">
      <t>イコウ</t>
    </rPh>
    <rPh sb="4" eb="5">
      <t>ス</t>
    </rPh>
    <phoneticPr fontId="2"/>
  </si>
  <si>
    <t>22W245</t>
  </si>
  <si>
    <t>「外務省会計手続システムの機能拡張作業」業務委嘱</t>
    <rPh sb="20" eb="22">
      <t>ギョウム</t>
    </rPh>
    <rPh sb="22" eb="24">
      <t>イショク</t>
    </rPh>
    <phoneticPr fontId="4"/>
  </si>
  <si>
    <t>民527</t>
    <rPh sb="0" eb="1">
      <t>ミン</t>
    </rPh>
    <phoneticPr fontId="2"/>
  </si>
  <si>
    <t>22G436</t>
  </si>
  <si>
    <t>「安全保障に関する知的交流事業」業務委嘱</t>
    <rPh sb="16" eb="18">
      <t>ギョウム</t>
    </rPh>
    <rPh sb="18" eb="20">
      <t>イショク</t>
    </rPh>
    <phoneticPr fontId="4"/>
  </si>
  <si>
    <t>財団法人平和・安全保障研究所</t>
  </si>
  <si>
    <t>東京都港区赤坂１－８－６</t>
  </si>
  <si>
    <t>22G434</t>
  </si>
  <si>
    <t>「非英語７カ国語（仏，独，西，露，中，アラビア，朝鮮）通訳研修」業務委嘱</t>
    <rPh sb="32" eb="34">
      <t>ギョウム</t>
    </rPh>
    <rPh sb="34" eb="36">
      <t>イショク</t>
    </rPh>
    <phoneticPr fontId="4"/>
  </si>
  <si>
    <t>株式会社サイマル・インターナショナル</t>
  </si>
  <si>
    <t>東京都中央区築地１－１２－６</t>
  </si>
  <si>
    <t>22G454</t>
  </si>
  <si>
    <t>「第４回国際漫画賞」実施業務委嘱</t>
    <rPh sb="10" eb="12">
      <t>ジッシ</t>
    </rPh>
    <rPh sb="12" eb="14">
      <t>ギョウム</t>
    </rPh>
    <rPh sb="14" eb="16">
      <t>イショク</t>
    </rPh>
    <phoneticPr fontId="4"/>
  </si>
  <si>
    <t>株式会社１０ＢＡＮ企画</t>
    <rPh sb="0" eb="4">
      <t>カブシキガイシャ</t>
    </rPh>
    <phoneticPr fontId="4"/>
  </si>
  <si>
    <t>東京都港区西麻布３－２０－１４</t>
  </si>
  <si>
    <t>22G453</t>
  </si>
  <si>
    <t>欧中ア</t>
  </si>
  <si>
    <t>「『中央アジア＋日本』対話第３回外相会合における同時通訳」業務委嘱</t>
    <rPh sb="29" eb="31">
      <t>ギョウム</t>
    </rPh>
    <rPh sb="31" eb="33">
      <t>イショク</t>
    </rPh>
    <phoneticPr fontId="4"/>
  </si>
  <si>
    <t>日程が直前に確定したため、事前に公示の上、競争入札を行う時間的余裕がなく、過去に同様の業務経験がある数社より見積を招請した結果、本契約の相手方の提示した金額が最も廉価であり、他に競争を許さないため。(会計法第29条の３第４項)</t>
  </si>
  <si>
    <t>22W259</t>
  </si>
  <si>
    <t>村田</t>
    <rPh sb="0" eb="2">
      <t>ムラタ</t>
    </rPh>
    <phoneticPr fontId="4"/>
  </si>
  <si>
    <t>「外務省広報事業のシステム最適化にかかるプロジェクト・マネジメント」業務委嘱</t>
    <rPh sb="6" eb="8">
      <t>ジギョウ</t>
    </rPh>
    <rPh sb="34" eb="36">
      <t>ギョウム</t>
    </rPh>
    <rPh sb="36" eb="38">
      <t>イショク</t>
    </rPh>
    <phoneticPr fontId="4"/>
  </si>
  <si>
    <t>プライスウォーターハウスクーパース株式会社</t>
    <rPh sb="17" eb="21">
      <t>カブシキガイシャ</t>
    </rPh>
    <phoneticPr fontId="4"/>
  </si>
  <si>
    <t>22G457</t>
  </si>
  <si>
    <t>中標津町役場</t>
  </si>
  <si>
    <t>⑥イAﾛ</t>
    <phoneticPr fontId="2"/>
  </si>
  <si>
    <t>22G458</t>
  </si>
  <si>
    <t>「北方四島住民支援事業（患者受入：第３回目）治療業務」業務委嘱</t>
    <rPh sb="27" eb="29">
      <t>ギョウム</t>
    </rPh>
    <rPh sb="29" eb="31">
      <t>イショク</t>
    </rPh>
    <phoneticPr fontId="4"/>
  </si>
  <si>
    <t>北海道標津郡中標津町西十条南９－１－１</t>
  </si>
  <si>
    <t>本件契約は，移送される患者の身体的負担にかんがみ，適切な治療・診断を行うことのできる施設及び医師を擁し，患者の病院までの移送距離が短いことが必要不可欠である。同病院は移動時間１時間以内に入院治療が可能でありかつ事前に初診診断のできない入院患者への治療行為を行うことができることから，他に競争を許さないため（会計法第29条の3第4項）。</t>
  </si>
  <si>
    <t>22V101</t>
    <phoneticPr fontId="4"/>
  </si>
  <si>
    <t>ＡＰ準</t>
    <rPh sb="2" eb="3">
      <t>ジュン</t>
    </rPh>
    <phoneticPr fontId="4"/>
  </si>
  <si>
    <t>⑥ア（企画）</t>
    <phoneticPr fontId="2"/>
  </si>
  <si>
    <t>「日本APEC首脳会議関連行事等の企画立案及び実施運営」業務委嘱</t>
    <rPh sb="1" eb="3">
      <t>ニホン</t>
    </rPh>
    <rPh sb="7" eb="9">
      <t>シュノウ</t>
    </rPh>
    <rPh sb="9" eb="11">
      <t>カイギ</t>
    </rPh>
    <rPh sb="11" eb="13">
      <t>カンレン</t>
    </rPh>
    <rPh sb="13" eb="15">
      <t>ギョウジ</t>
    </rPh>
    <rPh sb="15" eb="16">
      <t>トウ</t>
    </rPh>
    <rPh sb="17" eb="19">
      <t>キカク</t>
    </rPh>
    <rPh sb="19" eb="21">
      <t>リツアン</t>
    </rPh>
    <rPh sb="21" eb="22">
      <t>オヨ</t>
    </rPh>
    <rPh sb="23" eb="25">
      <t>ジッシ</t>
    </rPh>
    <rPh sb="25" eb="27">
      <t>ウンエイ</t>
    </rPh>
    <rPh sb="28" eb="30">
      <t>ギョウム</t>
    </rPh>
    <rPh sb="30" eb="32">
      <t>イショク</t>
    </rPh>
    <phoneticPr fontId="4"/>
  </si>
  <si>
    <t>株式会社博報堂</t>
    <rPh sb="0" eb="4">
      <t>カブシキガイシャ</t>
    </rPh>
    <rPh sb="4" eb="7">
      <t>ハクホウドウ</t>
    </rPh>
    <phoneticPr fontId="4"/>
  </si>
  <si>
    <t>東京都港区赤坂５－３－１</t>
    <rPh sb="0" eb="3">
      <t>トウキョウト</t>
    </rPh>
    <rPh sb="3" eb="5">
      <t>ミナトク</t>
    </rPh>
    <rPh sb="5" eb="7">
      <t>アカサカ</t>
    </rPh>
    <phoneticPr fontId="4"/>
  </si>
  <si>
    <t>企画競争の結果、同社が最も高い評価を得て確実な業務の履行が可能であると認められ、他に競争を許さないため（会計法第29条の３第４項）。</t>
    <rPh sb="0" eb="2">
      <t>キカク</t>
    </rPh>
    <rPh sb="2" eb="4">
      <t>キョウソウ</t>
    </rPh>
    <rPh sb="5" eb="7">
      <t>ケッカ</t>
    </rPh>
    <rPh sb="8" eb="10">
      <t>ドウシャ</t>
    </rPh>
    <rPh sb="11" eb="12">
      <t>モット</t>
    </rPh>
    <rPh sb="13" eb="14">
      <t>タカ</t>
    </rPh>
    <rPh sb="15" eb="17">
      <t>ヒョウカ</t>
    </rPh>
    <rPh sb="18" eb="19">
      <t>エ</t>
    </rPh>
    <rPh sb="20" eb="22">
      <t>カクジツ</t>
    </rPh>
    <rPh sb="23" eb="25">
      <t>ギョウム</t>
    </rPh>
    <rPh sb="26" eb="28">
      <t>リコウ</t>
    </rPh>
    <rPh sb="29" eb="31">
      <t>カノウ</t>
    </rPh>
    <rPh sb="35" eb="36">
      <t>ミト</t>
    </rPh>
    <rPh sb="40" eb="41">
      <t>ホカ</t>
    </rPh>
    <rPh sb="42" eb="44">
      <t>キョウソウ</t>
    </rPh>
    <rPh sb="45" eb="46">
      <t>ユル</t>
    </rPh>
    <rPh sb="52" eb="55">
      <t>カイケイホウ</t>
    </rPh>
    <rPh sb="55" eb="56">
      <t>ダイ</t>
    </rPh>
    <rPh sb="58" eb="59">
      <t>ジョウ</t>
    </rPh>
    <rPh sb="61" eb="62">
      <t>ダイ</t>
    </rPh>
    <rPh sb="63" eb="64">
      <t>コウ</t>
    </rPh>
    <phoneticPr fontId="4"/>
  </si>
  <si>
    <t>22G466</t>
  </si>
  <si>
    <t>「官房要員語学研修」実施委嘱</t>
    <rPh sb="10" eb="12">
      <t>ジッシ</t>
    </rPh>
    <rPh sb="12" eb="14">
      <t>イショク</t>
    </rPh>
    <phoneticPr fontId="4"/>
  </si>
  <si>
    <t>学校法人佐野学園神田外語キャリアカレッジ</t>
  </si>
  <si>
    <t>東京都千代田区内神田２－１２－５</t>
  </si>
  <si>
    <t>民425</t>
    <rPh sb="0" eb="1">
      <t>ミン</t>
    </rPh>
    <phoneticPr fontId="2"/>
  </si>
  <si>
    <t>22G483</t>
  </si>
  <si>
    <t>「外国報道関係者研修」実施委嘱</t>
    <rPh sb="11" eb="13">
      <t>ジッシ</t>
    </rPh>
    <rPh sb="13" eb="15">
      <t>イショク</t>
    </rPh>
    <phoneticPr fontId="4"/>
  </si>
  <si>
    <t>財団法人フォーリン・プレスセンター</t>
  </si>
  <si>
    <t>東京都千代田区内幸町１－２－１</t>
  </si>
  <si>
    <t>22V099</t>
  </si>
  <si>
    <t>④ア（公募）</t>
    <phoneticPr fontId="4"/>
  </si>
  <si>
    <t>「２０１０年日本ＡＰＥＣ首脳会議開催等国際放送センター」運営業務委嘱</t>
    <rPh sb="28" eb="30">
      <t>ウンエイ</t>
    </rPh>
    <rPh sb="30" eb="32">
      <t>ギョウム</t>
    </rPh>
    <rPh sb="32" eb="34">
      <t>イショク</t>
    </rPh>
    <phoneticPr fontId="4"/>
  </si>
  <si>
    <t>④ア（公募）1</t>
  </si>
  <si>
    <t>22G500</t>
  </si>
  <si>
    <t>「北方四島住民招聘（日本語習得２）」業務委嘱</t>
    <rPh sb="18" eb="20">
      <t>ギョウム</t>
    </rPh>
    <rPh sb="20" eb="22">
      <t>イショク</t>
    </rPh>
    <phoneticPr fontId="4"/>
  </si>
  <si>
    <t>22X072</t>
  </si>
  <si>
    <t>08-1</t>
    <phoneticPr fontId="4"/>
  </si>
  <si>
    <t>「グローバルフェスタＪＡＰＡＮ２０１０」開催業務委嘱</t>
    <rPh sb="24" eb="26">
      <t>イショク</t>
    </rPh>
    <phoneticPr fontId="4"/>
  </si>
  <si>
    <t>株式会社ＪＴＢコミュニケーションズ</t>
    <rPh sb="0" eb="4">
      <t>カブシキガイシャ</t>
    </rPh>
    <phoneticPr fontId="4"/>
  </si>
  <si>
    <t>東京都品川区上大崎２－２４－９</t>
  </si>
  <si>
    <t>企画競争の結果同社が最も高い評価を得て確実な業務の履行が可能であると認められ、他に競争を許さないため（会計法第２９条の３第４項）。</t>
    <rPh sb="39" eb="40">
      <t>タ</t>
    </rPh>
    <rPh sb="41" eb="43">
      <t>キョウソウ</t>
    </rPh>
    <rPh sb="44" eb="45">
      <t>ユル</t>
    </rPh>
    <phoneticPr fontId="4"/>
  </si>
  <si>
    <t>随意
（企画競争）</t>
  </si>
  <si>
    <t>請負
（その他）</t>
  </si>
  <si>
    <t>物品役務</t>
    <rPh sb="0" eb="2">
      <t>ブッピン</t>
    </rPh>
    <rPh sb="2" eb="4">
      <t>エキム</t>
    </rPh>
    <phoneticPr fontId="4"/>
  </si>
  <si>
    <t>22G484</t>
  </si>
  <si>
    <t>欧西欧</t>
  </si>
  <si>
    <t>08-2</t>
    <phoneticPr fontId="4"/>
  </si>
  <si>
    <t>「日英２１世紀委員会第２７回合同会議」開催業務委嘱</t>
    <rPh sb="19" eb="21">
      <t>カイサイ</t>
    </rPh>
    <rPh sb="21" eb="23">
      <t>ギョウム</t>
    </rPh>
    <rPh sb="23" eb="25">
      <t>イショク</t>
    </rPh>
    <phoneticPr fontId="4"/>
  </si>
  <si>
    <t>財団法人日本国際交流センター</t>
  </si>
  <si>
    <t>東京都港区南麻布４－９－１７</t>
  </si>
  <si>
    <t>企画競争の結果、同社が最も高い評価を得て確実な業務の履行が可能であると認められ、他に競争を許さないため（会計法第２９条の３第４項）。</t>
  </si>
  <si>
    <t>⑥アD緊急</t>
    <rPh sb="3" eb="5">
      <t>キンキュウ</t>
    </rPh>
    <phoneticPr fontId="4"/>
  </si>
  <si>
    <t>22J056</t>
  </si>
  <si>
    <t>総国企</t>
  </si>
  <si>
    <t>08-3</t>
    <phoneticPr fontId="4"/>
  </si>
  <si>
    <t>国連事務総長一行接遇（車両運送契約）</t>
    <rPh sb="8" eb="10">
      <t>セツグウ</t>
    </rPh>
    <rPh sb="11" eb="13">
      <t>シャリョウ</t>
    </rPh>
    <rPh sb="13" eb="15">
      <t>ウンソウ</t>
    </rPh>
    <rPh sb="15" eb="17">
      <t>ケイヤク</t>
    </rPh>
    <phoneticPr fontId="4"/>
  </si>
  <si>
    <t>メルセデス・ベンツ日本株式会社</t>
  </si>
  <si>
    <t>東京都港区六本木１－９－９</t>
  </si>
  <si>
    <t>賓客政府側の希望を踏まえ、至急に請負業者を決定する必要が生じ、事前公示による競争入札は不可能であり、確実な業務の履行が可能な業者は、過去に同様の業務経験のある本契約の相手方の他になく、他に競争を許さないため（会計法第２９条の３第４項）。</t>
    <rPh sb="0" eb="2">
      <t>ヒンキャク</t>
    </rPh>
    <rPh sb="2" eb="5">
      <t>セイフガワ</t>
    </rPh>
    <rPh sb="6" eb="8">
      <t>キボウ</t>
    </rPh>
    <rPh sb="9" eb="10">
      <t>フ</t>
    </rPh>
    <rPh sb="28" eb="29">
      <t>ショウ</t>
    </rPh>
    <rPh sb="31" eb="33">
      <t>ジゼン</t>
    </rPh>
    <rPh sb="33" eb="35">
      <t>コウジ</t>
    </rPh>
    <rPh sb="43" eb="46">
      <t>フカノウ</t>
    </rPh>
    <rPh sb="50" eb="52">
      <t>カクジツ</t>
    </rPh>
    <rPh sb="53" eb="55">
      <t>ギョウム</t>
    </rPh>
    <rPh sb="56" eb="58">
      <t>リコウ</t>
    </rPh>
    <rPh sb="59" eb="61">
      <t>カノウ</t>
    </rPh>
    <rPh sb="62" eb="64">
      <t>ギョウシャ</t>
    </rPh>
    <rPh sb="79" eb="82">
      <t>ホンケイヤク</t>
    </rPh>
    <rPh sb="83" eb="86">
      <t>アイテカタ</t>
    </rPh>
    <rPh sb="87" eb="88">
      <t>ホカ</t>
    </rPh>
    <rPh sb="92" eb="93">
      <t>タ</t>
    </rPh>
    <rPh sb="94" eb="96">
      <t>キョウソウ</t>
    </rPh>
    <rPh sb="97" eb="98">
      <t>ユル</t>
    </rPh>
    <phoneticPr fontId="4"/>
  </si>
  <si>
    <t>随意
（一般）</t>
  </si>
  <si>
    <t>22V114</t>
  </si>
  <si>
    <t>会計課調達室／APEC班</t>
    <rPh sb="11" eb="12">
      <t>ハン</t>
    </rPh>
    <phoneticPr fontId="4"/>
  </si>
  <si>
    <t>田村</t>
  </si>
  <si>
    <t>08-4</t>
    <phoneticPr fontId="4"/>
  </si>
  <si>
    <t>「２０１０年日本ＡＰＥＣショーケースに係る業務一式」業務委嘱</t>
    <rPh sb="19" eb="20">
      <t>カカ</t>
    </rPh>
    <rPh sb="21" eb="23">
      <t>ギョウム</t>
    </rPh>
    <rPh sb="23" eb="25">
      <t>イッシキ</t>
    </rPh>
    <rPh sb="26" eb="28">
      <t>ギョウム</t>
    </rPh>
    <rPh sb="28" eb="30">
      <t>イショク</t>
    </rPh>
    <phoneticPr fontId="4"/>
  </si>
  <si>
    <t>本件は各省庁による合同入札であり、契約金額248,850,000円のうち、取り決めにより当省負担額は124,425,000円となっている。</t>
    <phoneticPr fontId="4"/>
  </si>
  <si>
    <t>村松</t>
  </si>
  <si>
    <t>08-5</t>
    <phoneticPr fontId="4"/>
  </si>
  <si>
    <t>「在東ティモール日本国大使館事務所新営工事に係る工事請負業者選定協力業務」業務委嘱</t>
    <rPh sb="37" eb="39">
      <t>ギョウム</t>
    </rPh>
    <rPh sb="39" eb="41">
      <t>イショク</t>
    </rPh>
    <phoneticPr fontId="4"/>
  </si>
  <si>
    <t>株式会社伊藤喜三郎建築研究所</t>
  </si>
  <si>
    <t>東京都品川区東五反田１－２－３３</t>
  </si>
  <si>
    <t>本件業務はその内容から、設計意図等を把握している設計者以外に確実に業務を実行しうる者はなく、他に競争を許さないため（会計法第２９条の３第４項）。</t>
    <phoneticPr fontId="4"/>
  </si>
  <si>
    <t>建築のためのサービス</t>
  </si>
  <si>
    <t>22V107</t>
  </si>
  <si>
    <t>08-6</t>
    <phoneticPr fontId="4"/>
  </si>
  <si>
    <t>「2010年日本APEC公式ホームページへのコンテンツ掲載」業務委嘱</t>
    <rPh sb="5" eb="6">
      <t>ネン</t>
    </rPh>
    <rPh sb="6" eb="8">
      <t>ニホン</t>
    </rPh>
    <rPh sb="12" eb="14">
      <t>コウシキ</t>
    </rPh>
    <rPh sb="27" eb="29">
      <t>ケイサイ</t>
    </rPh>
    <rPh sb="30" eb="32">
      <t>ギョウム</t>
    </rPh>
    <rPh sb="32" eb="34">
      <t>イショク</t>
    </rPh>
    <phoneticPr fontId="4"/>
  </si>
  <si>
    <t>エヌ・ティ・ティラーニングシステムズ株式会社</t>
  </si>
  <si>
    <t>本件サービスの提供が可能な業者は、本案件の相手方の他になく、他に競争を許さないため（会計法第２９条の３第４項）。</t>
    <phoneticPr fontId="4"/>
  </si>
  <si>
    <t>本件は各省庁による合同入札であり、契約金額のうち、取り決めにより当省負担額は45%となっている。事前検証：85,585円　　　　　　頁更新：@3,522円ほか</t>
    <rPh sb="17" eb="19">
      <t>ケイヤク</t>
    </rPh>
    <rPh sb="19" eb="21">
      <t>キンガク</t>
    </rPh>
    <rPh sb="48" eb="50">
      <t>ジゼン</t>
    </rPh>
    <rPh sb="50" eb="52">
      <t>ケンショウ</t>
    </rPh>
    <rPh sb="59" eb="60">
      <t>エン</t>
    </rPh>
    <rPh sb="66" eb="67">
      <t>ページ</t>
    </rPh>
    <rPh sb="67" eb="69">
      <t>コウシン</t>
    </rPh>
    <rPh sb="76" eb="77">
      <t>エン</t>
    </rPh>
    <phoneticPr fontId="4"/>
  </si>
  <si>
    <t>22F061</t>
  </si>
  <si>
    <t>08-7</t>
    <phoneticPr fontId="4"/>
  </si>
  <si>
    <t>「報道関係者招聘」業務委嘱</t>
    <rPh sb="9" eb="11">
      <t>ギョウム</t>
    </rPh>
    <rPh sb="11" eb="13">
      <t>イショク</t>
    </rPh>
    <phoneticPr fontId="4"/>
  </si>
  <si>
    <t>財団法人フォーリン･プレスセンター</t>
  </si>
  <si>
    <t>22G482</t>
  </si>
  <si>
    <t>08-8</t>
    <phoneticPr fontId="4"/>
  </si>
  <si>
    <t>「第４部中堅職員英語研修」実施業務委嘱</t>
    <rPh sb="13" eb="15">
      <t>ジッシ</t>
    </rPh>
    <rPh sb="15" eb="17">
      <t>ギョウム</t>
    </rPh>
    <rPh sb="17" eb="19">
      <t>イショク</t>
    </rPh>
    <phoneticPr fontId="4"/>
  </si>
  <si>
    <t>民445</t>
    <rPh sb="0" eb="1">
      <t>ミン</t>
    </rPh>
    <phoneticPr fontId="2"/>
  </si>
  <si>
    <t>⑤アDその他</t>
    <rPh sb="5" eb="6">
      <t>タ</t>
    </rPh>
    <phoneticPr fontId="4"/>
  </si>
  <si>
    <t>22V103</t>
  </si>
  <si>
    <t>08-9</t>
    <phoneticPr fontId="4"/>
  </si>
  <si>
    <t>「２０１０年日本ＡＰＥＣ公式ホームページＵＲＬ変更」業務委嘱</t>
  </si>
  <si>
    <t>日本電気株式会社</t>
  </si>
  <si>
    <t>東京都港区芝５－７－１</t>
  </si>
  <si>
    <t>本件サービスの提供が可能な業者は、統合Ｗｅｂ環境の運用・保守事業者である本案件の相手方の他になく、他に競争を許さないため（会計法第２９条の３第４項）。</t>
  </si>
  <si>
    <t>本件は各省庁による合同契約であり、契約金額2,192,400円のうち、取り決めにより当省負担額は986,580円となっている。</t>
    <rPh sb="11" eb="13">
      <t>ケイヤク</t>
    </rPh>
    <rPh sb="17" eb="19">
      <t>ケイヤク</t>
    </rPh>
    <rPh sb="19" eb="21">
      <t>キンガク</t>
    </rPh>
    <rPh sb="30" eb="31">
      <t>エン</t>
    </rPh>
    <rPh sb="35" eb="36">
      <t>ト</t>
    </rPh>
    <rPh sb="37" eb="38">
      <t>キ</t>
    </rPh>
    <rPh sb="42" eb="43">
      <t>トウ</t>
    </rPh>
    <rPh sb="43" eb="44">
      <t>ショウ</t>
    </rPh>
    <rPh sb="44" eb="46">
      <t>フタン</t>
    </rPh>
    <rPh sb="46" eb="47">
      <t>ガク</t>
    </rPh>
    <rPh sb="55" eb="56">
      <t>エン</t>
    </rPh>
    <phoneticPr fontId="4"/>
  </si>
  <si>
    <t>22Z186</t>
  </si>
  <si>
    <t>08-10</t>
    <phoneticPr fontId="4"/>
  </si>
  <si>
    <t>「在ジブチ大へのウイルス対策サーバの展開及びメールサーバ構築作業」業務委嘱</t>
    <rPh sb="33" eb="35">
      <t>ギョウム</t>
    </rPh>
    <rPh sb="35" eb="37">
      <t>イショク</t>
    </rPh>
    <phoneticPr fontId="4"/>
  </si>
  <si>
    <t>現在稼働中のシステムの拡張業務を同システムの開発業者である契約の相手方に委嘱するものであり、通信に障害を及ぼすことなく安定運用を確実に遂行しうる者は他になく、他に競争を許さないため（会計法第２９条の３第４項）。</t>
    <rPh sb="11" eb="13">
      <t>カクチョウ</t>
    </rPh>
    <phoneticPr fontId="4"/>
  </si>
  <si>
    <t>22Z192</t>
  </si>
  <si>
    <t>08-11</t>
    <phoneticPr fontId="4"/>
  </si>
  <si>
    <t>「在瀋陽総領事館ファイルサーバ復旧作業」業務委嘱</t>
    <rPh sb="15" eb="17">
      <t>フッキュウ</t>
    </rPh>
    <rPh sb="17" eb="19">
      <t>サギョウ</t>
    </rPh>
    <rPh sb="20" eb="22">
      <t>ギョウム</t>
    </rPh>
    <rPh sb="22" eb="24">
      <t>イショク</t>
    </rPh>
    <phoneticPr fontId="4"/>
  </si>
  <si>
    <t>現在稼働中のシステムの保守業務を同システムの開発業者である契約の相手方に委嘱するものであり、通信に障害を及ぼすことなく安定運用を確実に遂行しうる者は他になく、他に競争を許さないため（会計法第２９条の３第４項）。</t>
  </si>
  <si>
    <t>22G517</t>
  </si>
  <si>
    <t>亜西</t>
  </si>
  <si>
    <t>08-12</t>
    <phoneticPr fontId="4"/>
  </si>
  <si>
    <t>「外務大臣の訪印に伴う通訳」業務委嘱</t>
    <rPh sb="14" eb="16">
      <t>ギョウム</t>
    </rPh>
    <rPh sb="16" eb="18">
      <t>イショク</t>
    </rPh>
    <phoneticPr fontId="4"/>
  </si>
  <si>
    <t>株式会社リンガバンク</t>
    <rPh sb="0" eb="4">
      <t>カブシキガイシャ</t>
    </rPh>
    <phoneticPr fontId="4"/>
  </si>
  <si>
    <t>東京都港区西新橋３－１５－３</t>
  </si>
  <si>
    <t>通常、大臣等の外国訪問は直前に決定されるため、事前公示による競争入札は不可能であり、本契約相手方はこの種の公式通訳が可能な経験豊富な者を迅速に手配可能であり、他に競争を許さないため（会計法第２９条の３第４項）。</t>
    <rPh sb="23" eb="25">
      <t>ジゼン</t>
    </rPh>
    <rPh sb="25" eb="27">
      <t>コウジ</t>
    </rPh>
    <rPh sb="30" eb="32">
      <t>キョウソウ</t>
    </rPh>
    <phoneticPr fontId="4"/>
  </si>
  <si>
    <t>22V124</t>
  </si>
  <si>
    <t>08-13</t>
    <phoneticPr fontId="4"/>
  </si>
  <si>
    <t>「２０１０年日本ＡＰＥＣ公式ホームページ・アクセスログ集計等」業務委嘱</t>
    <rPh sb="31" eb="33">
      <t>ギョウム</t>
    </rPh>
    <rPh sb="33" eb="35">
      <t>イショク</t>
    </rPh>
    <phoneticPr fontId="4"/>
  </si>
  <si>
    <t>本件は統合Ｗｅｂ環境内での作業となることから統合Ｗｅｂ環境に関する知識が必要となり、当該業者はＡＰＥＣ暫定版ホームページにおいて本件と同様の業務を行ったことがある唯一の業者であり、他に競争を許さないため（会計法第２９条の３第４項）。</t>
  </si>
  <si>
    <t>22G519</t>
  </si>
  <si>
    <t>08-14</t>
    <phoneticPr fontId="4"/>
  </si>
  <si>
    <t>「外務大臣の日中ハイレベル経済対話出席に係る通訳」業務委嘱</t>
    <rPh sb="25" eb="27">
      <t>ギョウム</t>
    </rPh>
    <rPh sb="27" eb="29">
      <t>イショク</t>
    </rPh>
    <phoneticPr fontId="4"/>
  </si>
  <si>
    <t>株式会社サイマル・インターナショナル</t>
    <rPh sb="0" eb="4">
      <t>カブシキガイシャ</t>
    </rPh>
    <phoneticPr fontId="4"/>
  </si>
  <si>
    <t>22J921
22J922</t>
    <phoneticPr fontId="4"/>
  </si>
  <si>
    <t>総平</t>
  </si>
  <si>
    <t>福田</t>
  </si>
  <si>
    <t>08-15</t>
  </si>
  <si>
    <t>「平和構築人材育成事業」業務委嘱</t>
    <rPh sb="12" eb="14">
      <t>ギョウム</t>
    </rPh>
    <rPh sb="14" eb="16">
      <t>イショク</t>
    </rPh>
    <phoneticPr fontId="4"/>
  </si>
  <si>
    <t>特定非営利活動法人ピースビルダーズ</t>
  </si>
  <si>
    <t>広島県広島市中区小町１－２０</t>
  </si>
  <si>
    <t>CSVデータなし</t>
    <phoneticPr fontId="4"/>
  </si>
  <si>
    <t>22G516</t>
  </si>
  <si>
    <t>08-16</t>
  </si>
  <si>
    <t>「北方四島住民支援事業（患者受入：第４回目）患者の支援及び啓発業務」業務委嘱</t>
    <rPh sb="34" eb="36">
      <t>ギョウム</t>
    </rPh>
    <rPh sb="36" eb="38">
      <t>イショク</t>
    </rPh>
    <phoneticPr fontId="4"/>
  </si>
  <si>
    <t>四島住民に真に必要な支援を実施し、領土問題の啓発を行いながら我が国に対する信頼感を高め、平和条約締結交渉の環境整備に資することが可能なのは、地方公共団体の他になく、他に競争を許さないため（会計法第２９条の３第４項）。</t>
  </si>
  <si>
    <t>東</t>
  </si>
  <si>
    <t>08-17</t>
  </si>
  <si>
    <t>「警備車両の購送」業務委嘱</t>
    <rPh sb="6" eb="8">
      <t>コウソウ</t>
    </rPh>
    <rPh sb="9" eb="11">
      <t>ギョウム</t>
    </rPh>
    <rPh sb="11" eb="13">
      <t>イショク</t>
    </rPh>
    <phoneticPr fontId="4"/>
  </si>
  <si>
    <t>ブッケハーブ・リミテッド日本支社</t>
  </si>
  <si>
    <t>東京都港区虎ノ門３－７－２０</t>
  </si>
  <si>
    <t>本件サービスの提供が可能な業者は、本契約の相手方の他になく、他に競争を許さないため（会計法第２９条の３第４項）。</t>
  </si>
  <si>
    <t>22F082</t>
  </si>
  <si>
    <t>08-18</t>
  </si>
  <si>
    <t>「日米相互理解促進プログラム」業務委嘱</t>
    <rPh sb="15" eb="17">
      <t>ギョウム</t>
    </rPh>
    <rPh sb="17" eb="19">
      <t>イショク</t>
    </rPh>
    <phoneticPr fontId="4"/>
  </si>
  <si>
    <t>株式会社ＪＴＢ首都圏</t>
    <rPh sb="0" eb="4">
      <t>カブシキガイシャ</t>
    </rPh>
    <phoneticPr fontId="4"/>
  </si>
  <si>
    <t>東京都港区新橋１－１８－１６</t>
  </si>
  <si>
    <t>企画競争の結果同社が高い評価を得て確実な業務の履行が可能であると認められ、他に競争を許さないため（会計法第２９条の３第４項）。</t>
    <rPh sb="37" eb="38">
      <t>タ</t>
    </rPh>
    <rPh sb="39" eb="41">
      <t>キョウソウ</t>
    </rPh>
    <rPh sb="42" eb="43">
      <t>ユル</t>
    </rPh>
    <phoneticPr fontId="4"/>
  </si>
  <si>
    <t>22S405</t>
  </si>
  <si>
    <t>08-19</t>
  </si>
  <si>
    <t>「『２０１０年版政府開発援助（ＯＤＡ）白書（仮称）』（日本語版及び英語版）」製本（印刷）等業務委嘱</t>
    <rPh sb="38" eb="40">
      <t>セイホン</t>
    </rPh>
    <rPh sb="41" eb="43">
      <t>インサツ</t>
    </rPh>
    <rPh sb="44" eb="45">
      <t>トウ</t>
    </rPh>
    <rPh sb="45" eb="47">
      <t>ギョウム</t>
    </rPh>
    <rPh sb="47" eb="49">
      <t>イショク</t>
    </rPh>
    <phoneticPr fontId="4"/>
  </si>
  <si>
    <t>株式会社文化工房</t>
  </si>
  <si>
    <t>東京都港区六本木５－１０－３１</t>
  </si>
  <si>
    <t>法4</t>
    <rPh sb="0" eb="1">
      <t>ホウ</t>
    </rPh>
    <phoneticPr fontId="2"/>
  </si>
  <si>
    <t>1
2</t>
    <phoneticPr fontId="4"/>
  </si>
  <si>
    <t>22G536
22S471</t>
  </si>
  <si>
    <t>08-20</t>
  </si>
  <si>
    <t>「ＰＥＯ（太平洋経済展望）国際専門家会合」開催業務委嘱</t>
    <rPh sb="21" eb="23">
      <t>カイサイ</t>
    </rPh>
    <rPh sb="23" eb="25">
      <t>ギョウム</t>
    </rPh>
    <rPh sb="25" eb="27">
      <t>イショク</t>
    </rPh>
    <phoneticPr fontId="4"/>
  </si>
  <si>
    <t>財団法人関西社会経済研究所</t>
  </si>
  <si>
    <t>大阪府大阪市北区中之島６－２－２７</t>
  </si>
  <si>
    <t>企画競争の結果同社が最も高い評価を得て確実な業務の履行が可能であると認められ、他に競争を許さないため（会計法第２９条の３第４項）。</t>
  </si>
  <si>
    <t>22G542</t>
  </si>
  <si>
    <t>08-21</t>
  </si>
  <si>
    <t>「対ロシア技術支援日本センター巡回講座／訪日研修事業『企業財務～金融危機下におけるリスクマネジメント～（極東部）』」業務委嘱</t>
    <rPh sb="58" eb="60">
      <t>ギョウム</t>
    </rPh>
    <rPh sb="60" eb="62">
      <t>イショク</t>
    </rPh>
    <phoneticPr fontId="4"/>
  </si>
  <si>
    <t>22G544</t>
  </si>
  <si>
    <t>08-22</t>
  </si>
  <si>
    <t>「対ロシア技術支援日本センターＯＪＴ研修事業『住宅・建設産業（欧露部）』」業務委嘱</t>
    <rPh sb="9" eb="11">
      <t>ニホン</t>
    </rPh>
    <rPh sb="37" eb="39">
      <t>ギョウム</t>
    </rPh>
    <rPh sb="39" eb="41">
      <t>イショク</t>
    </rPh>
    <phoneticPr fontId="4"/>
  </si>
  <si>
    <t>22G539
22F086</t>
    <phoneticPr fontId="4"/>
  </si>
  <si>
    <t>08-23</t>
  </si>
  <si>
    <t>「日中研究交流支援事業（第三分野）」業務委嘱</t>
    <rPh sb="18" eb="20">
      <t>ギョウム</t>
    </rPh>
    <rPh sb="20" eb="22">
      <t>イショク</t>
    </rPh>
    <phoneticPr fontId="4"/>
  </si>
  <si>
    <t>学校法人愛知大学</t>
  </si>
  <si>
    <t>愛知県豊橋市畑町字町畑１－１</t>
  </si>
  <si>
    <t>企画競争の結果同団体が最も高い評価を得て確実な業務の履行が可能であると認められ、他に競争を許さないため（会計法第２９条の３第４項）。</t>
    <rPh sb="8" eb="10">
      <t>ダンタイ</t>
    </rPh>
    <rPh sb="40" eb="41">
      <t>タ</t>
    </rPh>
    <rPh sb="42" eb="44">
      <t>キョウソウ</t>
    </rPh>
    <rPh sb="45" eb="46">
      <t>ユル</t>
    </rPh>
    <phoneticPr fontId="4"/>
  </si>
  <si>
    <t>22W338</t>
  </si>
  <si>
    <t>本間</t>
  </si>
  <si>
    <t>08-24</t>
  </si>
  <si>
    <t>「ＬＡＮ研修環境構築」業務委嘱</t>
  </si>
  <si>
    <t>現在敷設されているＬＡＮの研修用環境を同ＬＡＮの構築業者である契約の相手方に委嘱するものであり、通信に障害を及ぼすことなく安定運用を確実に遂行しうる者は他になく競争を許さないため。（会計法第２９条の３第４項）</t>
  </si>
  <si>
    <t>22V508</t>
  </si>
  <si>
    <t>08-25</t>
  </si>
  <si>
    <t>ＣＯＰ１０における広域イーサネット網回線利用契約</t>
    <rPh sb="22" eb="24">
      <t>ケイヤク</t>
    </rPh>
    <phoneticPr fontId="4"/>
  </si>
  <si>
    <t xml:space="preserve">ＫＤＤＩ株式会社 </t>
  </si>
  <si>
    <t>東京都千代田区飯田橋３－１０－１０</t>
  </si>
  <si>
    <t>現在敷設されている回線の増設作業を同回線の構築業者である契約の相手方に委嘱するものであり、通信に障害を及ぼすことなく安定運用を確実に遂行しうる者は他になく競争を許さないため（会計法第２９条の３第４項）。</t>
  </si>
  <si>
    <t>×
競争あり
(17年度～）</t>
    <rPh sb="2" eb="4">
      <t>キョウソウ</t>
    </rPh>
    <rPh sb="10" eb="12">
      <t>ネンド</t>
    </rPh>
    <phoneticPr fontId="34"/>
  </si>
  <si>
    <t>22G541</t>
  </si>
  <si>
    <t>中東２</t>
  </si>
  <si>
    <t>08-26</t>
  </si>
  <si>
    <t>「対ＧＣＣ諸国人材育成支援訪日研修事業」業務委嘱</t>
    <rPh sb="17" eb="19">
      <t>ジギョウ</t>
    </rPh>
    <rPh sb="20" eb="22">
      <t>ギョウム</t>
    </rPh>
    <rPh sb="22" eb="24">
      <t>イショク</t>
    </rPh>
    <phoneticPr fontId="4"/>
  </si>
  <si>
    <t>財団法人日本国際協力センター</t>
  </si>
  <si>
    <t>東京都新宿区西新宿６－１０－１</t>
  </si>
  <si>
    <t>法94</t>
    <rPh sb="0" eb="1">
      <t>ホウ</t>
    </rPh>
    <phoneticPr fontId="2"/>
  </si>
  <si>
    <t>⑤アAﾆ(ﾍ)</t>
    <phoneticPr fontId="4"/>
  </si>
  <si>
    <t>22J061</t>
  </si>
  <si>
    <t>08-27</t>
  </si>
  <si>
    <t>スペイン首相一行接遇（宿舎等契約）</t>
    <rPh sb="8" eb="10">
      <t>セツグウ</t>
    </rPh>
    <rPh sb="11" eb="13">
      <t>シュクシャ</t>
    </rPh>
    <rPh sb="13" eb="14">
      <t>トウ</t>
    </rPh>
    <rPh sb="14" eb="16">
      <t>ケイヤク</t>
    </rPh>
    <phoneticPr fontId="4"/>
  </si>
  <si>
    <t>株式会社ホテルオークラ東京</t>
  </si>
  <si>
    <t>東京都港区虎ノ門２－１０－４</t>
  </si>
  <si>
    <t>賓客政府側の希望を踏まえ、警備、立地条件、受入体制などを総合的に判断して最適であり、他に競争を許さないため（会計法第２９条の３第４項）。</t>
  </si>
  <si>
    <t>⑥アD外交</t>
    <rPh sb="3" eb="5">
      <t>ガイコウ</t>
    </rPh>
    <phoneticPr fontId="4"/>
  </si>
  <si>
    <t>22S487</t>
  </si>
  <si>
    <t>国協緊人</t>
  </si>
  <si>
    <t>08-28</t>
  </si>
  <si>
    <t>「国際捜索・救助支援グループ（ＩＮＳＡＲＡＧ）グローバル会合開催に伴う外務省主催レセプション」開催業務委嘱</t>
    <rPh sb="51" eb="53">
      <t>イショク</t>
    </rPh>
    <phoneticPr fontId="4"/>
  </si>
  <si>
    <t>株式会社神戸ポートピアホテル</t>
    <rPh sb="0" eb="4">
      <t>カブシキガイシャ</t>
    </rPh>
    <phoneticPr fontId="4"/>
  </si>
  <si>
    <t>兵庫県神戸市中央区港島中町６－１０－１</t>
  </si>
  <si>
    <t>本レセプションの警備、立地条件及び受入れ体制などを総合的に判断して最適であり、他に競争を許さないため（会計法第２９条の３第４項）。</t>
    <rPh sb="8" eb="10">
      <t>ケイビ</t>
    </rPh>
    <rPh sb="11" eb="13">
      <t>リッチ</t>
    </rPh>
    <rPh sb="13" eb="15">
      <t>ジョウケン</t>
    </rPh>
    <rPh sb="15" eb="16">
      <t>オヨ</t>
    </rPh>
    <rPh sb="17" eb="19">
      <t>ウケイ</t>
    </rPh>
    <rPh sb="20" eb="22">
      <t>タイセイ</t>
    </rPh>
    <rPh sb="25" eb="28">
      <t>ソウゴウテキ</t>
    </rPh>
    <rPh sb="29" eb="31">
      <t>ハンダン</t>
    </rPh>
    <rPh sb="33" eb="35">
      <t>サイテキ</t>
    </rPh>
    <rPh sb="39" eb="40">
      <t>タ</t>
    </rPh>
    <rPh sb="41" eb="43">
      <t>キョウソウ</t>
    </rPh>
    <rPh sb="44" eb="45">
      <t>ユル</t>
    </rPh>
    <phoneticPr fontId="4"/>
  </si>
  <si>
    <t>22G555</t>
  </si>
  <si>
    <t>08-29</t>
  </si>
  <si>
    <t>「対ロシア技術支援日本センター巡回講座／訪日研修事業『品質管理（欧露部）』」業務委嘱</t>
    <rPh sb="38" eb="40">
      <t>ギョウム</t>
    </rPh>
    <rPh sb="40" eb="42">
      <t>イショク</t>
    </rPh>
    <phoneticPr fontId="4"/>
  </si>
  <si>
    <t>株式会社ワールド・ビジネス・アソシエイツ</t>
  </si>
  <si>
    <t>東京都千代田区神田小川町２－１２</t>
  </si>
  <si>
    <t>22G553</t>
  </si>
  <si>
    <t>欧東</t>
  </si>
  <si>
    <t>08-30</t>
  </si>
  <si>
    <t>「日独フォーラム第１９回合同会議日本側事務局」業務委嘱</t>
    <rPh sb="23" eb="25">
      <t>ギョウム</t>
    </rPh>
    <rPh sb="25" eb="27">
      <t>イショク</t>
    </rPh>
    <phoneticPr fontId="4"/>
  </si>
  <si>
    <t>22G551</t>
  </si>
  <si>
    <t>08-31</t>
  </si>
  <si>
    <t>「第１８回日韓フォーラム日本側事務局」業務委嘱</t>
    <rPh sb="19" eb="21">
      <t>ギョウム</t>
    </rPh>
    <rPh sb="21" eb="23">
      <t>イショク</t>
    </rPh>
    <phoneticPr fontId="4"/>
  </si>
  <si>
    <t>法71</t>
    <rPh sb="0" eb="1">
      <t>ホウ</t>
    </rPh>
    <phoneticPr fontId="2"/>
  </si>
  <si>
    <t>22G428</t>
  </si>
  <si>
    <t>08-32</t>
  </si>
  <si>
    <t>「ロシア極東地域との対話フォーラム」開催業務委嘱</t>
    <rPh sb="20" eb="22">
      <t>ギョウム</t>
    </rPh>
    <rPh sb="22" eb="24">
      <t>イショク</t>
    </rPh>
    <phoneticPr fontId="4"/>
  </si>
  <si>
    <t>特定非営利活動法人ユーラシア２１研究所</t>
  </si>
  <si>
    <t>22W288</t>
  </si>
  <si>
    <t>会計課調達室／政府調達班</t>
  </si>
  <si>
    <t>佐藤（賢）</t>
  </si>
  <si>
    <t>09-01</t>
    <phoneticPr fontId="4"/>
  </si>
  <si>
    <t>「電子入札開札システム用ソフトウェア」賃貸借保守</t>
  </si>
  <si>
    <t>支出負担行為担当官
外務省大臣官房会計課長　梨田和也
東京都千代田区霞が関２－２－１</t>
    <rPh sb="0" eb="2">
      <t>シシュツ</t>
    </rPh>
    <rPh sb="2" eb="4">
      <t>フタン</t>
    </rPh>
    <rPh sb="4" eb="6">
      <t>コウイ</t>
    </rPh>
    <rPh sb="6" eb="9">
      <t>タントウカン</t>
    </rPh>
    <rPh sb="10" eb="13">
      <t>ガイムショウ</t>
    </rPh>
    <rPh sb="13" eb="15">
      <t>ダイジン</t>
    </rPh>
    <rPh sb="15" eb="17">
      <t>カンボウ</t>
    </rPh>
    <rPh sb="17" eb="19">
      <t>カイケイ</t>
    </rPh>
    <rPh sb="19" eb="21">
      <t>カチョウ</t>
    </rPh>
    <rPh sb="22" eb="24">
      <t>ナシダ</t>
    </rPh>
    <rPh sb="24" eb="26">
      <t>カズヤ</t>
    </rPh>
    <rPh sb="27" eb="30">
      <t>トウキョウト</t>
    </rPh>
    <rPh sb="30" eb="34">
      <t>チヨダク</t>
    </rPh>
    <rPh sb="34" eb="35">
      <t>カスミ</t>
    </rPh>
    <rPh sb="36" eb="37">
      <t>セキ</t>
    </rPh>
    <phoneticPr fontId="34"/>
  </si>
  <si>
    <t>①日本ヒューレット・パッカード株式会社
②日本ＨＰファイナンシャルサービス株式会社</t>
    <phoneticPr fontId="4"/>
  </si>
  <si>
    <t>①東京都杉並区高井戸東３－２９－２１
②東京都千代田区五番町７</t>
  </si>
  <si>
    <t>現在稼働中のシステムの保守業務を同システムの開発業者である契約の相手方に委嘱するものであり、通信に障害を及ぼすことなく安定運用を確実に遂行しうる者は他になく、他に競争を許さないため。（会計法第２９条の３第４項）</t>
  </si>
  <si>
    <t>図</t>
  </si>
  <si>
    <t>会計課調達室／物品管理班</t>
  </si>
  <si>
    <t>辻口</t>
  </si>
  <si>
    <t>09-02</t>
    <phoneticPr fontId="4"/>
  </si>
  <si>
    <t>「在外公館執務参考用図書」の購入</t>
  </si>
  <si>
    <t>株式会社三省堂書店</t>
    <phoneticPr fontId="4"/>
  </si>
  <si>
    <t>東京都千代田区神田神保町１－１</t>
  </si>
  <si>
    <t>本件は、在外職員の希望図書のりん請を受けた上、品切れ等の調査を行った後でないと購入する図書が確定しないため、事前公示による入札が不可能であり、本件業務可能な数者による定価に対する割引率の提示を受けた結果、同社を本契約の相手方と認めたもので、他に競争を許さないため。（会計法第２９条の３第４項）</t>
    <rPh sb="83" eb="85">
      <t>テイカ</t>
    </rPh>
    <rPh sb="86" eb="87">
      <t>タイ</t>
    </rPh>
    <rPh sb="89" eb="92">
      <t>ワリビキリツ</t>
    </rPh>
    <rPh sb="93" eb="95">
      <t>テイジ</t>
    </rPh>
    <rPh sb="96" eb="97">
      <t>ウ</t>
    </rPh>
    <phoneticPr fontId="34"/>
  </si>
  <si>
    <t>22G554</t>
  </si>
  <si>
    <t>09-03</t>
  </si>
  <si>
    <t>「イラン及びイラク等湾岸情勢調査・分析ユニット」業務委嘱</t>
    <rPh sb="24" eb="26">
      <t>ギョウム</t>
    </rPh>
    <rPh sb="26" eb="28">
      <t>イショク</t>
    </rPh>
    <phoneticPr fontId="34"/>
  </si>
  <si>
    <t>財団法人日本エネルギー経済研究所</t>
    <phoneticPr fontId="4"/>
  </si>
  <si>
    <t>東京都中央区勝どき１－１３－１</t>
  </si>
  <si>
    <t>民467</t>
    <rPh sb="0" eb="1">
      <t>ミン</t>
    </rPh>
    <phoneticPr fontId="2"/>
  </si>
  <si>
    <t>22J065</t>
  </si>
  <si>
    <t>09-04</t>
  </si>
  <si>
    <t>「エクアドル大統領一行接遇」（宿舎等契約）</t>
    <rPh sb="9" eb="11">
      <t>イッコウ</t>
    </rPh>
    <rPh sb="11" eb="13">
      <t>セツグウ</t>
    </rPh>
    <rPh sb="15" eb="17">
      <t>シュクシャ</t>
    </rPh>
    <rPh sb="17" eb="18">
      <t>トウ</t>
    </rPh>
    <rPh sb="18" eb="20">
      <t>ケイヤク</t>
    </rPh>
    <phoneticPr fontId="34"/>
  </si>
  <si>
    <t>株式会社帝国ホテル</t>
    <phoneticPr fontId="4"/>
  </si>
  <si>
    <t>22W315</t>
  </si>
  <si>
    <t>09-05</t>
  </si>
  <si>
    <t>「ＯＤＡ掲載情報集計システム改修作業」業務委嘱</t>
    <rPh sb="19" eb="21">
      <t>ギョウム</t>
    </rPh>
    <rPh sb="21" eb="23">
      <t>イショク</t>
    </rPh>
    <phoneticPr fontId="34"/>
  </si>
  <si>
    <t xml:space="preserve">株式会社日立製作所 </t>
    <phoneticPr fontId="4"/>
  </si>
  <si>
    <t>22V115</t>
  </si>
  <si>
    <t>⑤ア（企画）</t>
    <phoneticPr fontId="4"/>
  </si>
  <si>
    <t>09-06</t>
  </si>
  <si>
    <t>「２０１０年日本ＡＰＥＣ（横浜）における識別証による警備体制構築」業務委嘱</t>
    <rPh sb="33" eb="35">
      <t>ギョウム</t>
    </rPh>
    <rPh sb="35" eb="37">
      <t>イショク</t>
    </rPh>
    <phoneticPr fontId="34"/>
  </si>
  <si>
    <t>日本電気株式会社</t>
    <phoneticPr fontId="4"/>
  </si>
  <si>
    <t>企画競争の結果、同社が最も高い評価を得て確実な業務の履行が可能であると認められ、他に競争を許さないため（会計法第２９条の３第５項）。</t>
  </si>
  <si>
    <t>本件は各省庁による合同契約であり、契約金額367,500,000円のうち、取り決めにより、当省負担額は165,375,000円となっている。</t>
    <rPh sb="0" eb="2">
      <t>ホンケン</t>
    </rPh>
    <rPh sb="3" eb="4">
      <t>カク</t>
    </rPh>
    <rPh sb="4" eb="6">
      <t>ショウチョウ</t>
    </rPh>
    <rPh sb="9" eb="11">
      <t>ゴウドウ</t>
    </rPh>
    <rPh sb="11" eb="13">
      <t>ケイヤク</t>
    </rPh>
    <rPh sb="17" eb="19">
      <t>ケイヤク</t>
    </rPh>
    <rPh sb="19" eb="21">
      <t>キンガク</t>
    </rPh>
    <rPh sb="32" eb="33">
      <t>エン</t>
    </rPh>
    <rPh sb="37" eb="38">
      <t>ト</t>
    </rPh>
    <rPh sb="39" eb="40">
      <t>キ</t>
    </rPh>
    <rPh sb="45" eb="46">
      <t>トウ</t>
    </rPh>
    <rPh sb="46" eb="47">
      <t>ショウ</t>
    </rPh>
    <rPh sb="47" eb="49">
      <t>フタン</t>
    </rPh>
    <rPh sb="49" eb="50">
      <t>ガク</t>
    </rPh>
    <rPh sb="62" eb="63">
      <t>エン</t>
    </rPh>
    <phoneticPr fontId="4"/>
  </si>
  <si>
    <t>⑤ア（企画）3</t>
  </si>
  <si>
    <t>22V062</t>
  </si>
  <si>
    <t>09-07</t>
  </si>
  <si>
    <t>「２０１０年日本ＡＰＥＣクロスメディア広報事業の企画・実施」業務委嘱</t>
    <rPh sb="30" eb="32">
      <t>ギョウム</t>
    </rPh>
    <rPh sb="32" eb="34">
      <t>イショク</t>
    </rPh>
    <phoneticPr fontId="34"/>
  </si>
  <si>
    <t>株式会社電通</t>
    <phoneticPr fontId="4"/>
  </si>
  <si>
    <t>企画競争の結果、同社が最も高い評価を得て確実な業務の履行が可能であると認められ、他に競争を許さないため（会計法第２９条の３第６項）。</t>
  </si>
  <si>
    <t>本件は各省庁による合同契約であり、契約金額72,975,000円のうち、取り決めにより、当省負担額は32,838,750円となっている。</t>
    <rPh sb="0" eb="2">
      <t>ホンケン</t>
    </rPh>
    <rPh sb="3" eb="4">
      <t>カク</t>
    </rPh>
    <rPh sb="4" eb="6">
      <t>ショウチョウ</t>
    </rPh>
    <rPh sb="9" eb="11">
      <t>ゴウドウ</t>
    </rPh>
    <rPh sb="11" eb="13">
      <t>ケイヤク</t>
    </rPh>
    <rPh sb="17" eb="19">
      <t>ケイヤク</t>
    </rPh>
    <rPh sb="19" eb="21">
      <t>キンガク</t>
    </rPh>
    <rPh sb="31" eb="32">
      <t>エン</t>
    </rPh>
    <rPh sb="36" eb="37">
      <t>ト</t>
    </rPh>
    <rPh sb="38" eb="39">
      <t>キ</t>
    </rPh>
    <rPh sb="44" eb="45">
      <t>トウ</t>
    </rPh>
    <rPh sb="45" eb="46">
      <t>ショウ</t>
    </rPh>
    <rPh sb="46" eb="48">
      <t>フタン</t>
    </rPh>
    <rPh sb="48" eb="49">
      <t>ガク</t>
    </rPh>
    <rPh sb="60" eb="61">
      <t>エン</t>
    </rPh>
    <phoneticPr fontId="4"/>
  </si>
  <si>
    <t>22X066</t>
  </si>
  <si>
    <t>09-08</t>
  </si>
  <si>
    <t>「日独交流１５０周年（仮）パンフレット作成」業務委嘱</t>
    <rPh sb="19" eb="21">
      <t>サクセイ</t>
    </rPh>
    <rPh sb="22" eb="24">
      <t>ギョウム</t>
    </rPh>
    <rPh sb="24" eb="26">
      <t>イショク</t>
    </rPh>
    <phoneticPr fontId="34"/>
  </si>
  <si>
    <t>株式会社ストーム</t>
    <phoneticPr fontId="4"/>
  </si>
  <si>
    <t>22V166</t>
  </si>
  <si>
    <t>09-09</t>
  </si>
  <si>
    <t>「２０１０年日本ＡＰＥＣ第３回高級実務者会合及び関連会合」会場等借上契約</t>
    <rPh sb="31" eb="32">
      <t>トウ</t>
    </rPh>
    <rPh sb="32" eb="34">
      <t>カリアゲ</t>
    </rPh>
    <rPh sb="34" eb="36">
      <t>ケイヤク</t>
    </rPh>
    <phoneticPr fontId="34"/>
  </si>
  <si>
    <t>森観光トラスト株式会社ウェスティンホテル仙台</t>
    <phoneticPr fontId="4"/>
  </si>
  <si>
    <t>宮城県仙台市青葉区１番町１－９－１</t>
  </si>
  <si>
    <t>契約の相手方は、当該地域において本会合の規模、警備、立地条件、受入態勢など一定の条件を満たす限られた施設の一つであり、他に競争を許さないため（会計法第２９条の３第４項）。</t>
  </si>
  <si>
    <t>本件は各省庁による合同契約であり、契約金額219,338,004円のうち、取り決めにより当省負担額は98,702,101円となっている。</t>
    <rPh sb="0" eb="2">
      <t>ホンケン</t>
    </rPh>
    <rPh sb="3" eb="4">
      <t>カク</t>
    </rPh>
    <rPh sb="4" eb="6">
      <t>ショウチョウ</t>
    </rPh>
    <rPh sb="9" eb="11">
      <t>ゴウドウ</t>
    </rPh>
    <rPh sb="11" eb="13">
      <t>ケイヤク</t>
    </rPh>
    <rPh sb="17" eb="19">
      <t>ケイヤク</t>
    </rPh>
    <rPh sb="19" eb="21">
      <t>キンガク</t>
    </rPh>
    <rPh sb="32" eb="33">
      <t>エン</t>
    </rPh>
    <rPh sb="37" eb="38">
      <t>ト</t>
    </rPh>
    <rPh sb="39" eb="40">
      <t>キ</t>
    </rPh>
    <rPh sb="44" eb="45">
      <t>トウ</t>
    </rPh>
    <rPh sb="45" eb="46">
      <t>ショウ</t>
    </rPh>
    <rPh sb="46" eb="48">
      <t>フタン</t>
    </rPh>
    <rPh sb="48" eb="49">
      <t>ガク</t>
    </rPh>
    <rPh sb="60" eb="61">
      <t>エン</t>
    </rPh>
    <phoneticPr fontId="4"/>
  </si>
  <si>
    <t>22G577</t>
  </si>
  <si>
    <t>09-10</t>
  </si>
  <si>
    <t>「北方四島住民支援事業（患者受入：第４回目）治療業務」業務委嘱</t>
    <rPh sb="27" eb="29">
      <t>ギョウム</t>
    </rPh>
    <rPh sb="29" eb="31">
      <t>イショク</t>
    </rPh>
    <phoneticPr fontId="34"/>
  </si>
  <si>
    <t>市立根室病院</t>
    <phoneticPr fontId="4"/>
  </si>
  <si>
    <t>本件契約は、移送される患者の身体的負担にかんがみ、適切な治療・診断を行うことのできる施設及び医師を擁し、患者の病院までの移送距離が短いことが必要不可欠である。同病院は移動時間１時間以内に入院治療が可能であり、かつ事前に初診診断のできない入院患者への治療行為を行うことができることから、他に競争を許さないため（会計法第２９条の３第４項）。</t>
  </si>
  <si>
    <t>22G578</t>
  </si>
  <si>
    <t>09-11</t>
  </si>
  <si>
    <t>「北方四島住民支援事業（患者受入：第４回目）患者の支援及び啓発業務」業務委嘱</t>
    <rPh sb="34" eb="36">
      <t>ギョウム</t>
    </rPh>
    <rPh sb="36" eb="38">
      <t>イショク</t>
    </rPh>
    <phoneticPr fontId="34"/>
  </si>
  <si>
    <t>09-12</t>
  </si>
  <si>
    <t>22Z204</t>
  </si>
  <si>
    <t>09-13</t>
  </si>
  <si>
    <t>「在外経理システム用ウィルス対策ソフトのバージョンアップ作業」業務委嘱</t>
    <rPh sb="31" eb="33">
      <t>ギョウム</t>
    </rPh>
    <rPh sb="33" eb="35">
      <t>イショク</t>
    </rPh>
    <phoneticPr fontId="34"/>
  </si>
  <si>
    <t>22Z203</t>
  </si>
  <si>
    <t>09-14</t>
  </si>
  <si>
    <t>「在外経理システム用ウィルス対策ソフト専用サーバのバージョンアップ作業」業務委嘱</t>
    <rPh sb="36" eb="38">
      <t>ギョウム</t>
    </rPh>
    <rPh sb="38" eb="40">
      <t>イショク</t>
    </rPh>
    <phoneticPr fontId="34"/>
  </si>
  <si>
    <t>22G588</t>
  </si>
  <si>
    <t>09-15</t>
  </si>
  <si>
    <t>「北方四島住民招聘」業務委嘱</t>
    <rPh sb="10" eb="12">
      <t>ギョウム</t>
    </rPh>
    <rPh sb="12" eb="14">
      <t>イショク</t>
    </rPh>
    <phoneticPr fontId="34"/>
  </si>
  <si>
    <t>公募を実施した結果、応募が一社のみであり、また審査の結果、業務の適正な履行が可能と認められ、他に競争を許さないため（会計法第２９条の３第４項）。</t>
    <rPh sb="13" eb="14">
      <t>イチ</t>
    </rPh>
    <phoneticPr fontId="34"/>
  </si>
  <si>
    <t>22Z206</t>
  </si>
  <si>
    <t>09-16</t>
  </si>
  <si>
    <t>「在外ＬＡＮウイルスバスターＣｏｒｐ．サーババージョンアップ作業」業務委嘱</t>
    <rPh sb="33" eb="35">
      <t>ギョウム</t>
    </rPh>
    <rPh sb="35" eb="37">
      <t>イショク</t>
    </rPh>
    <phoneticPr fontId="34"/>
  </si>
  <si>
    <t>22Z205</t>
  </si>
  <si>
    <t>09-17</t>
  </si>
  <si>
    <t>「事務所移転等に伴う基幹通信網アクセス回線の移設」業務委嘱</t>
    <rPh sb="25" eb="27">
      <t>ギョウム</t>
    </rPh>
    <rPh sb="27" eb="29">
      <t>イショク</t>
    </rPh>
    <phoneticPr fontId="34"/>
  </si>
  <si>
    <t>ＫＤＤＩ株式会社</t>
  </si>
  <si>
    <t>09-18</t>
  </si>
  <si>
    <t>「在外公館用ＦＭ放送機等無線機の保守・運用指導」業務委嘱</t>
    <rPh sb="24" eb="26">
      <t>ギョウム</t>
    </rPh>
    <rPh sb="26" eb="28">
      <t>イショク</t>
    </rPh>
    <phoneticPr fontId="34"/>
  </si>
  <si>
    <t>株式会社ケンウッド</t>
  </si>
  <si>
    <t>神奈川県横浜市緑区白山１－１６－２</t>
  </si>
  <si>
    <t>本件保守用部品の提供が可能な業者は当該機器の製造業者である本契約の相手方の他になく、他に競争を許さないため（会計法第２９条の３第４項）。</t>
    <rPh sb="1" eb="2">
      <t>ケン</t>
    </rPh>
    <phoneticPr fontId="34"/>
  </si>
  <si>
    <t>民428</t>
    <rPh sb="0" eb="1">
      <t>ミン</t>
    </rPh>
    <phoneticPr fontId="2"/>
  </si>
  <si>
    <t>22V514</t>
  </si>
  <si>
    <t>信</t>
    <rPh sb="0" eb="1">
      <t>シン</t>
    </rPh>
    <phoneticPr fontId="34"/>
  </si>
  <si>
    <t>09-19</t>
  </si>
  <si>
    <t>「ＣＯＰ１０新拠点設置に伴うＬＡＮ設計・構築作業」業務委嘱</t>
    <rPh sb="25" eb="27">
      <t>ギョウム</t>
    </rPh>
    <rPh sb="27" eb="29">
      <t>イショク</t>
    </rPh>
    <phoneticPr fontId="34"/>
  </si>
  <si>
    <t>現在稼働中のシステムの一部拡張業務を同システムの開発業者である契約の相手方に委嘱するものであり、通信に障害を及ぼすことなく安定運用を確実に遂行しうる者は他になく、他に競争を許さないため（会計法第２９条の３第４項）。</t>
  </si>
  <si>
    <t>22V164</t>
  </si>
  <si>
    <t>09-20</t>
  </si>
  <si>
    <t>「日本ＡＰＥＣ第３回高級実務者会合に係る接遇・連絡調整支援」業務委嘱</t>
    <rPh sb="30" eb="32">
      <t>ギョウム</t>
    </rPh>
    <rPh sb="32" eb="34">
      <t>イショク</t>
    </rPh>
    <phoneticPr fontId="34"/>
  </si>
  <si>
    <t>宮城県</t>
  </si>
  <si>
    <t>宮城県仙台市青葉区本町３－８－１</t>
  </si>
  <si>
    <t>日本ＡＰＥＣ第３回高級実務者会合等においては、地元自治体の協力を踏まえることが極めて重要であり、各エコノミー高級実務者に対する接遇・連絡帳接遇業務等を宮城県職員に委ねることにより、大きな成果を期待することが出来る。また、基本となる人件費が除かれることから、費用面においても経済的であり、他に競争を許さないため（会計法第２９条の３第４項）。</t>
  </si>
  <si>
    <t>本件は各省庁による合同契約であり、契約金額のうち、取り決めにより当省負担額は契約金額の45%となっている。</t>
    <rPh sb="0" eb="2">
      <t>ホンケン</t>
    </rPh>
    <rPh sb="3" eb="4">
      <t>カク</t>
    </rPh>
    <rPh sb="4" eb="6">
      <t>ショウチョウ</t>
    </rPh>
    <rPh sb="9" eb="11">
      <t>ゴウドウ</t>
    </rPh>
    <rPh sb="11" eb="13">
      <t>ケイヤク</t>
    </rPh>
    <rPh sb="17" eb="19">
      <t>ケイヤク</t>
    </rPh>
    <rPh sb="19" eb="21">
      <t>キンガク</t>
    </rPh>
    <rPh sb="25" eb="26">
      <t>ト</t>
    </rPh>
    <rPh sb="27" eb="28">
      <t>キ</t>
    </rPh>
    <rPh sb="32" eb="33">
      <t>トウ</t>
    </rPh>
    <rPh sb="33" eb="34">
      <t>ショウ</t>
    </rPh>
    <rPh sb="34" eb="36">
      <t>フタン</t>
    </rPh>
    <rPh sb="36" eb="37">
      <t>ガク</t>
    </rPh>
    <rPh sb="38" eb="40">
      <t>ケイヤク</t>
    </rPh>
    <rPh sb="40" eb="42">
      <t>キンガク</t>
    </rPh>
    <phoneticPr fontId="4"/>
  </si>
  <si>
    <t>22Z217</t>
  </si>
  <si>
    <t>09-21</t>
  </si>
  <si>
    <t>「基幹通信網関連機器等の移設作業」業務委嘱</t>
    <rPh sb="17" eb="19">
      <t>ギョウム</t>
    </rPh>
    <rPh sb="19" eb="21">
      <t>イショク</t>
    </rPh>
    <phoneticPr fontId="34"/>
  </si>
  <si>
    <t>現在稼働中のシステムの移設作業を同システムの開発業者である契約の相手方に委嘱するものであり、通信に障害を及ぼすことなく安定運用を確実に遂行しうる者は他になく、他に競争を許さないため（会計法第２９条の３第４項）。</t>
  </si>
  <si>
    <t>22G617</t>
  </si>
  <si>
    <t>09-22</t>
  </si>
  <si>
    <t>「対ロシア技術支援日本センターＯＪＴ研修事業『保健・医療分野（極東部）』」業務委嘱</t>
    <rPh sb="37" eb="39">
      <t>ギョウム</t>
    </rPh>
    <rPh sb="39" eb="41">
      <t>イショク</t>
    </rPh>
    <phoneticPr fontId="34"/>
  </si>
  <si>
    <t>民476</t>
    <rPh sb="0" eb="1">
      <t>ミン</t>
    </rPh>
    <phoneticPr fontId="2"/>
  </si>
  <si>
    <t>22G615</t>
  </si>
  <si>
    <t>09-23</t>
  </si>
  <si>
    <t>「北方四島住民支援事業（北方四島住民を対象とした健康診断）受診支援及び啓発」業務委嘱</t>
    <rPh sb="38" eb="40">
      <t>ギョウム</t>
    </rPh>
    <rPh sb="40" eb="42">
      <t>イショク</t>
    </rPh>
    <phoneticPr fontId="34"/>
  </si>
  <si>
    <t>四島住民に真に必要な支援を実施し、領土問題の啓発を行いながら我が国に対する信頼感を高め、平和条約締結交渉の環境整備に資するには、受入地の地方公共団体と病院が緊密に連携・協力することが必要不可欠であり、他に競争を許さないため（会計法第２９条の３第４項）。</t>
  </si>
  <si>
    <t>22V200</t>
  </si>
  <si>
    <t>09-24</t>
  </si>
  <si>
    <t>「２０１０年日本ＡＰＥＣ首脳・閣僚会議開催準備に伴うパシフィコ横浜２０街区」賃貸借契約</t>
    <rPh sb="41" eb="43">
      <t>ケイヤク</t>
    </rPh>
    <phoneticPr fontId="34"/>
  </si>
  <si>
    <t>株式会社横浜国際平和会議場</t>
  </si>
  <si>
    <t>神奈川県横浜市西区みなとみらい１－１－１</t>
  </si>
  <si>
    <t>借上げ地であるパシフィコ横浜２０街区は横浜市港湾局の所有地であり、同市が株式会社横浜国際平和会議場を指定管理業者として指名しているため、他に競争を許さないため（会計法第２９条の３第４項）。</t>
  </si>
  <si>
    <t>22V519</t>
  </si>
  <si>
    <t>09-25</t>
  </si>
  <si>
    <t>「CＯＰ１０におけるクローズドＬＡＮ及びオープンＬＡＮ運用支援要員」派遣契約</t>
    <rPh sb="36" eb="38">
      <t>ケイヤク</t>
    </rPh>
    <phoneticPr fontId="34"/>
  </si>
  <si>
    <t>22Z221</t>
  </si>
  <si>
    <t>09-26</t>
  </si>
  <si>
    <t>「メインフレーム（ホストコンピュータ）システム撤去」業務委嘱</t>
    <rPh sb="26" eb="28">
      <t>ギョウム</t>
    </rPh>
    <rPh sb="28" eb="30">
      <t>イショク</t>
    </rPh>
    <phoneticPr fontId="34"/>
  </si>
  <si>
    <t>現行契約において、撤去作業は当該業者が行う旨約定しており、他に競争を許さないため（会計法第２９条３の第４項）。</t>
  </si>
  <si>
    <t>22W363</t>
  </si>
  <si>
    <t>09-27</t>
  </si>
  <si>
    <t>「在外用パソコンのマスター作成等」業務委嘱</t>
    <rPh sb="17" eb="19">
      <t>ギョウム</t>
    </rPh>
    <rPh sb="19" eb="21">
      <t>イショク</t>
    </rPh>
    <phoneticPr fontId="34"/>
  </si>
  <si>
    <t>本件業務の履行のためには、当該機器を接続する当省システムの詳細について把握している必要があり、期間中に本件業務を履行可能な者は当該システムを構築した本契約の相手方の他になく、他に競争を許さないため（会計法第２９条の３第４項）。</t>
  </si>
  <si>
    <t>22Z229</t>
  </si>
  <si>
    <t>09-28</t>
  </si>
  <si>
    <t>「在モーリタニア大へのウイルス対策サーバの展開及びメールサーバの構築作業」業務委嘱</t>
    <rPh sb="37" eb="39">
      <t>ギョウム</t>
    </rPh>
    <rPh sb="39" eb="41">
      <t>イショク</t>
    </rPh>
    <phoneticPr fontId="34"/>
  </si>
  <si>
    <t>22V518</t>
  </si>
  <si>
    <t>09-29</t>
  </si>
  <si>
    <t>「ＣＯＰ１０現地事務局への外務省ネットワーク延伸に係る設計・構築作業等」業務委嘱</t>
    <rPh sb="36" eb="38">
      <t>ギョウム</t>
    </rPh>
    <rPh sb="38" eb="40">
      <t>イショク</t>
    </rPh>
    <phoneticPr fontId="34"/>
  </si>
  <si>
    <t>現在稼働中のシステムの拡張業務を同システムの開発業者である契約の相手方に委嘱するものであり、通信に障害を及ぼすことなく安定運用を確実に遂行しうる者は他になく、他に競争を許さないため（会計法第２９条の３第４項）。</t>
  </si>
  <si>
    <t>22W337</t>
  </si>
  <si>
    <t>09-30</t>
  </si>
  <si>
    <t>「会計関係業務システムの移行」業務委嘱</t>
    <rPh sb="15" eb="17">
      <t>ギョウム</t>
    </rPh>
    <rPh sb="17" eb="19">
      <t>イショク</t>
    </rPh>
    <phoneticPr fontId="34"/>
  </si>
  <si>
    <t>支出負担行為担当官代理
外務省大臣官房長　木寺昌人
東京都千代田区霞が関２－２－１</t>
    <rPh sb="0" eb="2">
      <t>シシュツ</t>
    </rPh>
    <rPh sb="2" eb="4">
      <t>フタン</t>
    </rPh>
    <rPh sb="4" eb="6">
      <t>コウイ</t>
    </rPh>
    <rPh sb="6" eb="9">
      <t>タントウカン</t>
    </rPh>
    <rPh sb="9" eb="11">
      <t>ダイリ</t>
    </rPh>
    <rPh sb="12" eb="15">
      <t>ガイムショウ</t>
    </rPh>
    <rPh sb="15" eb="17">
      <t>ダイジン</t>
    </rPh>
    <rPh sb="17" eb="19">
      <t>カンボウ</t>
    </rPh>
    <rPh sb="21" eb="22">
      <t>キ</t>
    </rPh>
    <rPh sb="22" eb="23">
      <t>テラ</t>
    </rPh>
    <rPh sb="23" eb="25">
      <t>マサト</t>
    </rPh>
    <rPh sb="26" eb="29">
      <t>トウキョウト</t>
    </rPh>
    <rPh sb="29" eb="33">
      <t>チヨダク</t>
    </rPh>
    <rPh sb="33" eb="34">
      <t>カスミ</t>
    </rPh>
    <rPh sb="35" eb="36">
      <t>セキ</t>
    </rPh>
    <phoneticPr fontId="34"/>
  </si>
  <si>
    <t>現在稼働中のシステムの移行業務を同システムの開発業者である契約の相手方に委嘱するものであり、通信に障害を及ぼすことなく安定運用を確実に遂行しうる者は他になく、他に競争を許さないため（会計法第２９条の３第４項）。</t>
  </si>
  <si>
    <t>22Z228</t>
  </si>
  <si>
    <t>09-31</t>
  </si>
  <si>
    <t>「在外ＬＡＮサーバ等」賃貸借保守</t>
    <rPh sb="11" eb="14">
      <t>チンタイシャク</t>
    </rPh>
    <rPh sb="14" eb="16">
      <t>ホシュ</t>
    </rPh>
    <phoneticPr fontId="34"/>
  </si>
  <si>
    <t>①日立キャピタル株式会社
②新日鉄ソリューションズ株式会社</t>
    <phoneticPr fontId="4"/>
  </si>
  <si>
    <t>当該機器等は今後も一定期間は業務上の使用に耐えられるところ、引き続き現行機器等を賃貸借することが同等物件の新規調達に比べ割安であり、業務効率・運用面から、他に競争を許さないため。（会計法第２９条の３第４項）</t>
  </si>
  <si>
    <t>H19/10/16公告にてH22/9/30迄随意契約予定の旨公表済み</t>
  </si>
  <si>
    <t>22W362</t>
  </si>
  <si>
    <t>09-32</t>
  </si>
  <si>
    <t>「在留届事実確認機能の在留邦人向けメールマガジン配信システムへの追加開発」業務委嘱</t>
    <rPh sb="37" eb="39">
      <t>ギョウム</t>
    </rPh>
    <rPh sb="39" eb="41">
      <t>イショク</t>
    </rPh>
    <phoneticPr fontId="34"/>
  </si>
  <si>
    <t>現在稼働中のシステムの改修業務を同システムの開発業者である契約の相手方に委嘱するものであり、通信に障害を及ぼすことなく安定運用を確実に遂行しうる者は他になく、他に競争を許さないため（会計法第２９条の３第４項）。</t>
  </si>
  <si>
    <t>22P805</t>
  </si>
  <si>
    <t>09-33</t>
  </si>
  <si>
    <t>「『採用案内（専門職職員）（仮）』パンフレット作成」業務委嘱</t>
    <rPh sb="10" eb="11">
      <t>ショク</t>
    </rPh>
    <rPh sb="26" eb="28">
      <t>ギョウム</t>
    </rPh>
    <rPh sb="28" eb="30">
      <t>イショク</t>
    </rPh>
    <phoneticPr fontId="34"/>
  </si>
  <si>
    <t>株式会社日新社</t>
  </si>
  <si>
    <t>東京都文京区湯島２－２４－６</t>
  </si>
  <si>
    <t>22V207</t>
  </si>
  <si>
    <t>09-34</t>
  </si>
  <si>
    <t>「ＡＰＥＣ新規拠点設置に係るネットワークの設計作業及び同事務局設置機器の設定・設置・削除並びに本省設置機器の設定変更作業」業務委嘱</t>
    <rPh sb="61" eb="63">
      <t>ギョウム</t>
    </rPh>
    <rPh sb="63" eb="65">
      <t>イショク</t>
    </rPh>
    <phoneticPr fontId="34"/>
  </si>
  <si>
    <t>本件はネットワーク最適化で構築された新システムに関連する作業であり、同システムの仕様等詳細を把握しておく必要があるため、同システムの開発及び保守等を行っている当該業者以外はおらず、他に競争を許さないため（会計法第２９条の３第４項）。</t>
  </si>
  <si>
    <t>22V204</t>
  </si>
  <si>
    <t>09-35</t>
  </si>
  <si>
    <t>「２０１０年日本ＡＰＥＣにおける秘匿ＩＰ電話システムの構築」業務委嘱</t>
    <rPh sb="30" eb="32">
      <t>ギョウム</t>
    </rPh>
    <rPh sb="32" eb="34">
      <t>イショク</t>
    </rPh>
    <phoneticPr fontId="34"/>
  </si>
  <si>
    <t>東京都港区芝浦４－１０－１６</t>
  </si>
  <si>
    <t>本件は秘匿ＩＰ電話システムに関連する作業であり、同システムの仕様等詳細を把握しておく必要があり、また、当該業者以外に委託した場合障害発生時の対応責任範囲が不明確となるため、他に競争を許さないため（会計法第２９条の３第４項）。</t>
  </si>
  <si>
    <t>22V202</t>
  </si>
  <si>
    <t>⑤工事ア</t>
    <phoneticPr fontId="4"/>
  </si>
  <si>
    <t>09-36</t>
    <phoneticPr fontId="4"/>
  </si>
  <si>
    <t>「２０１０年日本ＡＰＥＣ首脳会議等における第１旅客ターミナル地下１階ＡＰＥＣサーバールームコンセント設備他」工事契約</t>
    <rPh sb="56" eb="58">
      <t>ケイヤク</t>
    </rPh>
    <phoneticPr fontId="34"/>
  </si>
  <si>
    <t>日本空港テクノ株式会社</t>
  </si>
  <si>
    <t>東京都大田区羽田空港３－３－２</t>
  </si>
  <si>
    <t>本件工事を行う施設の管理者と協議した結果、同施設内の工事は本件請負業者が担当しており、他に競争を許さないため（会計法第２９条の３第４項）。</t>
  </si>
  <si>
    <t>本件は各省庁による合同契約であり、契約金額2,635,500円のうち、取り決めにより当省負担額は1,185,975円となっている。</t>
    <rPh sb="0" eb="2">
      <t>ホンケン</t>
    </rPh>
    <rPh sb="3" eb="4">
      <t>カク</t>
    </rPh>
    <rPh sb="4" eb="6">
      <t>ショウチョウ</t>
    </rPh>
    <rPh sb="9" eb="11">
      <t>ゴウドウ</t>
    </rPh>
    <rPh sb="11" eb="13">
      <t>ケイヤク</t>
    </rPh>
    <rPh sb="17" eb="19">
      <t>ケイヤク</t>
    </rPh>
    <rPh sb="19" eb="21">
      <t>キンガク</t>
    </rPh>
    <rPh sb="30" eb="31">
      <t>エン</t>
    </rPh>
    <rPh sb="35" eb="36">
      <t>ト</t>
    </rPh>
    <rPh sb="37" eb="38">
      <t>キ</t>
    </rPh>
    <rPh sb="42" eb="43">
      <t>トウ</t>
    </rPh>
    <rPh sb="43" eb="44">
      <t>ショウ</t>
    </rPh>
    <rPh sb="44" eb="46">
      <t>フタン</t>
    </rPh>
    <rPh sb="46" eb="47">
      <t>ガク</t>
    </rPh>
    <rPh sb="57" eb="58">
      <t>エン</t>
    </rPh>
    <phoneticPr fontId="4"/>
  </si>
  <si>
    <t>⑤工事ア0</t>
  </si>
  <si>
    <t>公共工事</t>
    <rPh sb="0" eb="2">
      <t>コウキョウ</t>
    </rPh>
    <rPh sb="2" eb="4">
      <t>コウジ</t>
    </rPh>
    <phoneticPr fontId="2"/>
  </si>
  <si>
    <t>22V125</t>
  </si>
  <si>
    <t>会計課調達室／APEC調達班</t>
    <rPh sb="11" eb="13">
      <t>チョウタツ</t>
    </rPh>
    <phoneticPr fontId="34"/>
  </si>
  <si>
    <t>④工事ア（公募）</t>
    <phoneticPr fontId="4"/>
  </si>
  <si>
    <t>10-01</t>
    <phoneticPr fontId="4"/>
  </si>
  <si>
    <t>「２０１０年日本ＡＰＥＣにおける通信インフラ整備」業務委嘱</t>
  </si>
  <si>
    <t>東日本電信電話株式会社</t>
    <rPh sb="0" eb="3">
      <t>ヒガシニホン</t>
    </rPh>
    <rPh sb="3" eb="5">
      <t>デンシン</t>
    </rPh>
    <rPh sb="5" eb="7">
      <t>デンワ</t>
    </rPh>
    <rPh sb="7" eb="11">
      <t>カブシキガイシャ</t>
    </rPh>
    <phoneticPr fontId="34"/>
  </si>
  <si>
    <t>東京都新宿区西新宿３－１９－２</t>
    <rPh sb="0" eb="3">
      <t>トウキョウト</t>
    </rPh>
    <rPh sb="3" eb="6">
      <t>シンジュクク</t>
    </rPh>
    <rPh sb="6" eb="9">
      <t>ニシシンジュク</t>
    </rPh>
    <phoneticPr fontId="34"/>
  </si>
  <si>
    <t>公募を実施した結果、応募が１社のみであり、また審査の結果、業務の適正な遂行が認められ、他に競争を許さないため（会計法第２９条の３第４項）。</t>
  </si>
  <si>
    <t>本件は各省庁による合同契約であり、契約金額３２９，６１６，０００円のうち、取り決めにより当省負担額は１４８，３２７，２００円となっている。</t>
  </si>
  <si>
    <t>④工事ア（公募）1</t>
  </si>
  <si>
    <t>22V238</t>
  </si>
  <si>
    <t>⑥工事ア</t>
    <phoneticPr fontId="4"/>
  </si>
  <si>
    <t>10-02</t>
    <phoneticPr fontId="4"/>
  </si>
  <si>
    <t>「２０１０年日本ＡＰＥＣ開催にかかる識別証発給所等仮設電源等」工事契約</t>
    <rPh sb="33" eb="35">
      <t>ケイヤク</t>
    </rPh>
    <phoneticPr fontId="34"/>
  </si>
  <si>
    <t>株式会社東急コミュニティー</t>
  </si>
  <si>
    <t>神奈川県横浜市西区みなとみらい２－３－５</t>
  </si>
  <si>
    <t>本件はクイーンズスクエア横浜における電源工事等であり、当該業者はクイーンズスクエア横浜全体のビルマネジメントを行っている唯一の会社であり、他に競争を許さないため（会計法第２９条の３第４項）。</t>
  </si>
  <si>
    <t>本件は各省庁による合同契約であり、契約金額２，９６３，１００円のうち、取り決めにより当省負担額は１，３３３，３９５円となっている。</t>
  </si>
  <si>
    <t>-</t>
    <phoneticPr fontId="4"/>
  </si>
  <si>
    <t>⑥工事ア0</t>
  </si>
  <si>
    <t>×（移行済）</t>
    <rPh sb="2" eb="4">
      <t>イコウ</t>
    </rPh>
    <rPh sb="4" eb="5">
      <t>ズ</t>
    </rPh>
    <phoneticPr fontId="36"/>
  </si>
  <si>
    <t>22G463</t>
  </si>
  <si>
    <t>10-03</t>
  </si>
  <si>
    <t>「平成２２年度在外危機管理セミナー」開催業務委嘱</t>
    <rPh sb="18" eb="20">
      <t>カイサイ</t>
    </rPh>
    <rPh sb="20" eb="22">
      <t>ギョウム</t>
    </rPh>
    <rPh sb="22" eb="24">
      <t>イショク</t>
    </rPh>
    <phoneticPr fontId="4"/>
  </si>
  <si>
    <t>コントロール・リスクス・グループ株式会社</t>
    <rPh sb="16" eb="20">
      <t>カブシキガイシャ</t>
    </rPh>
    <phoneticPr fontId="4"/>
  </si>
  <si>
    <t>東京都港区赤坂４－２－６</t>
  </si>
  <si>
    <t>企画競争の結果同社が最も高い評価を得て確実な業務の履行が可能であると認められ、他に競争を許さないため（会計法第２９条の３第４項）。</t>
    <rPh sb="39" eb="40">
      <t>タ</t>
    </rPh>
    <phoneticPr fontId="4"/>
  </si>
  <si>
    <t>民446</t>
    <rPh sb="0" eb="1">
      <t>ミン</t>
    </rPh>
    <phoneticPr fontId="2"/>
  </si>
  <si>
    <t>22G662</t>
  </si>
  <si>
    <t>10-04</t>
  </si>
  <si>
    <t>「新日中友好２１世紀委員会第２回会合の開催に伴う同時通訳」業務委嘱</t>
    <rPh sb="22" eb="23">
      <t>トモナ</t>
    </rPh>
    <rPh sb="24" eb="26">
      <t>ドウジ</t>
    </rPh>
    <rPh sb="29" eb="31">
      <t>ギョウム</t>
    </rPh>
    <rPh sb="31" eb="33">
      <t>イショク</t>
    </rPh>
    <phoneticPr fontId="4"/>
  </si>
  <si>
    <t>本契約の相手方は、当該分野における広範且つ専門的な知識と高度な通訳技術をもって、国際会議等における豊富な通訳実績を有し、高い評価を得ている者を擁しており、他に競争を許さないため（会計法第２９条の３第４項）。</t>
  </si>
  <si>
    <t>-</t>
    <phoneticPr fontId="34"/>
  </si>
  <si>
    <t>民226</t>
    <rPh sb="0" eb="1">
      <t>ミン</t>
    </rPh>
    <phoneticPr fontId="2"/>
  </si>
  <si>
    <t>22G465</t>
  </si>
  <si>
    <t>10-05</t>
  </si>
  <si>
    <t>「ＮＧＯによるテーマ別能力向上プログラム（ＮＧＯ組織・活動に係るデータブック作成）」業務委嘱</t>
    <rPh sb="42" eb="44">
      <t>ギョウム</t>
    </rPh>
    <rPh sb="44" eb="46">
      <t>イショク</t>
    </rPh>
    <phoneticPr fontId="4"/>
  </si>
  <si>
    <t>22G667</t>
  </si>
  <si>
    <t>10-06</t>
  </si>
  <si>
    <t>「対ロシア技術支援日本センター巡回講座／訪日研修事業『環境ビジネス（極東部）』」業務委嘱</t>
    <rPh sb="40" eb="42">
      <t>ギョウム</t>
    </rPh>
    <rPh sb="42" eb="44">
      <t>イショク</t>
    </rPh>
    <phoneticPr fontId="4"/>
  </si>
  <si>
    <t>22V213</t>
  </si>
  <si>
    <t>10-07</t>
  </si>
  <si>
    <t>「ＡＰＥＣにおける現地事務局等への外務省ネットワーク延伸に係る設計・構築作業等」業務委嘱</t>
  </si>
  <si>
    <t>本件は外務省独自のネットワークであるクローズドＬＡＮ及びオープンＬＡＮを延伸するために必要な関連機器の設計等作業であり、国内各拠点の通信に障害を及ぼすことなく作業を確実に遂行しうる者は当該ネットワークの構築を行った当該業者以外おらず、他に競争を許さないため（会計法第２９条の３第４項）。</t>
  </si>
  <si>
    <t>22Z253</t>
  </si>
  <si>
    <t>10-08</t>
  </si>
  <si>
    <t>「ＩＰ電話システムの構築・構成変更」業務委嘱</t>
    <rPh sb="18" eb="20">
      <t>ギョウム</t>
    </rPh>
    <rPh sb="20" eb="22">
      <t>イショク</t>
    </rPh>
    <phoneticPr fontId="4"/>
  </si>
  <si>
    <t>東京都港区虎ノ門１－７－１２</t>
  </si>
  <si>
    <t>22G691</t>
  </si>
  <si>
    <t>10-09</t>
  </si>
  <si>
    <t>「北方四島住民招聘事業（茨城）」業務委嘱</t>
    <rPh sb="16" eb="18">
      <t>ギョウム</t>
    </rPh>
    <rPh sb="18" eb="20">
      <t>イショク</t>
    </rPh>
    <phoneticPr fontId="4"/>
  </si>
  <si>
    <t>公募を実施した結果、応募が１者のみであり、また審査の結果、業務の適正な履行が可能と認められ、他に競争を許さないため（会計法第２９条の３第４項）。</t>
    <rPh sb="14" eb="15">
      <t>シャ</t>
    </rPh>
    <phoneticPr fontId="4"/>
  </si>
  <si>
    <t>　</t>
  </si>
  <si>
    <t>22Z280</t>
  </si>
  <si>
    <t>10-10</t>
  </si>
  <si>
    <t>「ＥＵ代表部への在ベルギー大使館統合作業及び技術者派遣」業務委嘱</t>
    <rPh sb="28" eb="30">
      <t>ギョウム</t>
    </rPh>
    <rPh sb="30" eb="32">
      <t>イショク</t>
    </rPh>
    <phoneticPr fontId="4"/>
  </si>
  <si>
    <t>現在稼働中のシステムへのデータ移行作業について同システムの開発業者である契約の相手方に委嘱するものであり、通信に障害を及ぼすことなく安定運用を確実に遂行しうる者は他になく、他に競争を許さないため（会計法第２９条の３第４項）。</t>
  </si>
  <si>
    <t>22X075</t>
  </si>
  <si>
    <t>10-11</t>
  </si>
  <si>
    <t>「『ＥＰＡ／ＦＴＡ（仮）』パンフレット」作成業務委嘱</t>
    <rPh sb="22" eb="24">
      <t>ギョウム</t>
    </rPh>
    <rPh sb="24" eb="26">
      <t>イショク</t>
    </rPh>
    <phoneticPr fontId="4"/>
  </si>
  <si>
    <t>22G668</t>
  </si>
  <si>
    <t>10-12</t>
  </si>
  <si>
    <t>「北方四島住民支援事業（北方四島住民を対象とした健康診断）検査」業務委嘱</t>
    <rPh sb="32" eb="34">
      <t>ギョウム</t>
    </rPh>
    <rPh sb="34" eb="36">
      <t>イショク</t>
    </rPh>
    <phoneticPr fontId="4"/>
  </si>
  <si>
    <t>契約相手方の病院は、根室地区において一定の規模の健康診断が行える唯一の施設であり、他に競争を許さないため（会計法第２９条の３第４項）。</t>
  </si>
  <si>
    <t>22V270</t>
  </si>
  <si>
    <t>会計課調達室／APEC調達班</t>
    <rPh sb="11" eb="14">
      <t>チョウタツハン</t>
    </rPh>
    <phoneticPr fontId="34"/>
  </si>
  <si>
    <t>10-13</t>
  </si>
  <si>
    <t>「２０１０年日本ＡＰＥＣにおける港湾１号線及び２号線の一部」賃貸借契約</t>
    <rPh sb="30" eb="33">
      <t>チンタイシャク</t>
    </rPh>
    <rPh sb="33" eb="35">
      <t>ケイヤク</t>
    </rPh>
    <phoneticPr fontId="4"/>
  </si>
  <si>
    <t>横浜市</t>
  </si>
  <si>
    <t>神奈川県横浜市中区港町１－１</t>
  </si>
  <si>
    <t>借上げ地である港湾１号線及び２号線は横浜市が管理をしており、他に競争を許さないため（会計法第２９条の３第４項）。</t>
  </si>
  <si>
    <t>本件は各省庁による合同契約であり、契約金額９６３，３００円のうち、取り決めにより当省負担額は４３３，４８５円となっている。</t>
  </si>
  <si>
    <t>22V219</t>
  </si>
  <si>
    <t>10-14</t>
  </si>
  <si>
    <t>「２０１０年日本ＡＰＥＣ横浜仮設事務所」電力需給契約</t>
    <rPh sb="22" eb="24">
      <t>ジュキュウ</t>
    </rPh>
    <rPh sb="24" eb="26">
      <t>ケイヤク</t>
    </rPh>
    <phoneticPr fontId="4"/>
  </si>
  <si>
    <t>東京電力株式会社</t>
  </si>
  <si>
    <t>神奈川県横浜市西区高島２－７－１</t>
  </si>
  <si>
    <t>本件を当該業者以外と契約し停電等諸問題が発生した場合、対応責任範囲が不明確になる等問題解決までに時間を要し、会議開催に支障を来す恐れがあるため、他に競争を許さないため（会計法第２９条の３第４項）。</t>
  </si>
  <si>
    <t>22W348</t>
  </si>
  <si>
    <t>10-15</t>
  </si>
  <si>
    <t>「『在留届事実確認機能』の領事関係データ管理システム及び在留電子届出システムへの追加開発作業」業務委嘱</t>
    <rPh sb="47" eb="49">
      <t>ギョウム</t>
    </rPh>
    <rPh sb="49" eb="51">
      <t>イショク</t>
    </rPh>
    <phoneticPr fontId="4"/>
  </si>
  <si>
    <t>民569</t>
    <rPh sb="0" eb="1">
      <t>ミン</t>
    </rPh>
    <phoneticPr fontId="2"/>
  </si>
  <si>
    <t>④アDその他</t>
    <rPh sb="5" eb="6">
      <t>タ</t>
    </rPh>
    <phoneticPr fontId="4"/>
  </si>
  <si>
    <t>22V230</t>
  </si>
  <si>
    <t>④ア</t>
    <phoneticPr fontId="2"/>
  </si>
  <si>
    <t>２０１０年日本APEC開催における２０街区仮設事務所等への電話・FAX及びインターネット回線導入</t>
    <rPh sb="4" eb="5">
      <t>ネン</t>
    </rPh>
    <rPh sb="5" eb="7">
      <t>ニホン</t>
    </rPh>
    <rPh sb="11" eb="13">
      <t>カイサイ</t>
    </rPh>
    <rPh sb="19" eb="21">
      <t>ガイク</t>
    </rPh>
    <rPh sb="21" eb="23">
      <t>カセツ</t>
    </rPh>
    <rPh sb="23" eb="26">
      <t>ジムショ</t>
    </rPh>
    <rPh sb="26" eb="27">
      <t>トウ</t>
    </rPh>
    <rPh sb="29" eb="31">
      <t>デンワ</t>
    </rPh>
    <rPh sb="35" eb="36">
      <t>オヨ</t>
    </rPh>
    <rPh sb="44" eb="46">
      <t>カイセン</t>
    </rPh>
    <rPh sb="46" eb="48">
      <t>ドウニュウ</t>
    </rPh>
    <phoneticPr fontId="4"/>
  </si>
  <si>
    <t>東日本電信電話株式会社</t>
    <rPh sb="0" eb="3">
      <t>ヒガシニホン</t>
    </rPh>
    <rPh sb="3" eb="5">
      <t>デンシン</t>
    </rPh>
    <rPh sb="5" eb="7">
      <t>デンワ</t>
    </rPh>
    <rPh sb="7" eb="11">
      <t>カブシキガイシャ</t>
    </rPh>
    <phoneticPr fontId="4"/>
  </si>
  <si>
    <t>神奈川県横浜市西区みなとみらい４－７－３</t>
    <rPh sb="0" eb="4">
      <t>カナガワケン</t>
    </rPh>
    <rPh sb="4" eb="7">
      <t>ヨコハマシ</t>
    </rPh>
    <rPh sb="7" eb="9">
      <t>ニシク</t>
    </rPh>
    <phoneticPr fontId="4"/>
  </si>
  <si>
    <t>本件は２０街区仮設事務所周辺道路共同溝まで地下配線が敷設されている唯一の業者である当該業者との契約であり、当該業者以外と契約した場合、障害発生時の対応責任範囲が不明確になる等会議運営に支障を来す恐れがあるため、他に競争を許さないため（会計法第２９条の３第４項）。</t>
    <rPh sb="0" eb="2">
      <t>ホンケン</t>
    </rPh>
    <rPh sb="5" eb="7">
      <t>ガイク</t>
    </rPh>
    <rPh sb="7" eb="9">
      <t>カセツ</t>
    </rPh>
    <rPh sb="9" eb="12">
      <t>ジムショ</t>
    </rPh>
    <rPh sb="12" eb="14">
      <t>シュウヘン</t>
    </rPh>
    <rPh sb="14" eb="16">
      <t>ドウロ</t>
    </rPh>
    <rPh sb="16" eb="18">
      <t>キョウドウ</t>
    </rPh>
    <rPh sb="18" eb="19">
      <t>ミゾ</t>
    </rPh>
    <rPh sb="21" eb="23">
      <t>チカ</t>
    </rPh>
    <rPh sb="23" eb="25">
      <t>ハイセン</t>
    </rPh>
    <rPh sb="26" eb="28">
      <t>シセツ</t>
    </rPh>
    <rPh sb="33" eb="35">
      <t>ユイイツ</t>
    </rPh>
    <rPh sb="36" eb="38">
      <t>ギョウシャ</t>
    </rPh>
    <rPh sb="41" eb="43">
      <t>トウガイ</t>
    </rPh>
    <rPh sb="43" eb="45">
      <t>ギョウシャ</t>
    </rPh>
    <rPh sb="47" eb="49">
      <t>ケイヤク</t>
    </rPh>
    <rPh sb="53" eb="55">
      <t>トウガイ</t>
    </rPh>
    <rPh sb="55" eb="57">
      <t>ギョウシャ</t>
    </rPh>
    <rPh sb="57" eb="59">
      <t>イガイ</t>
    </rPh>
    <rPh sb="60" eb="62">
      <t>ケイヤク</t>
    </rPh>
    <rPh sb="64" eb="66">
      <t>バアイ</t>
    </rPh>
    <rPh sb="67" eb="69">
      <t>ショウガイ</t>
    </rPh>
    <rPh sb="69" eb="72">
      <t>ハッセイジ</t>
    </rPh>
    <rPh sb="73" eb="75">
      <t>タイオウ</t>
    </rPh>
    <rPh sb="75" eb="77">
      <t>セキニン</t>
    </rPh>
    <rPh sb="77" eb="79">
      <t>ハンイ</t>
    </rPh>
    <rPh sb="80" eb="83">
      <t>フメイカク</t>
    </rPh>
    <rPh sb="86" eb="87">
      <t>トウ</t>
    </rPh>
    <rPh sb="87" eb="89">
      <t>カイギ</t>
    </rPh>
    <rPh sb="89" eb="91">
      <t>ウンエイ</t>
    </rPh>
    <rPh sb="92" eb="94">
      <t>シショウ</t>
    </rPh>
    <rPh sb="95" eb="96">
      <t>キタ</t>
    </rPh>
    <rPh sb="97" eb="98">
      <t>オソ</t>
    </rPh>
    <rPh sb="105" eb="106">
      <t>タ</t>
    </rPh>
    <rPh sb="107" eb="109">
      <t>キョウソウ</t>
    </rPh>
    <rPh sb="110" eb="111">
      <t>ユル</t>
    </rPh>
    <rPh sb="117" eb="120">
      <t>カイケイホウ</t>
    </rPh>
    <rPh sb="120" eb="121">
      <t>ダイ</t>
    </rPh>
    <rPh sb="123" eb="124">
      <t>ジョウ</t>
    </rPh>
    <rPh sb="126" eb="127">
      <t>ダイ</t>
    </rPh>
    <rPh sb="128" eb="129">
      <t>コウ</t>
    </rPh>
    <phoneticPr fontId="4"/>
  </si>
  <si>
    <t>本件は各省庁による合同契約であり、契約金額のうち、取り決めにより当省負担額は契約金額の４５％となっている。
工事費等：２，７５２，９８５円
使用料（単価契約）：＠８．５円ほか</t>
    <rPh sb="0" eb="2">
      <t>ホンケン</t>
    </rPh>
    <rPh sb="3" eb="6">
      <t>カクショウチョウ</t>
    </rPh>
    <rPh sb="9" eb="11">
      <t>ゴウドウ</t>
    </rPh>
    <rPh sb="11" eb="13">
      <t>ケイヤク</t>
    </rPh>
    <rPh sb="17" eb="20">
      <t>ケイヤクキン</t>
    </rPh>
    <rPh sb="20" eb="21">
      <t>ガク</t>
    </rPh>
    <rPh sb="25" eb="26">
      <t>ト</t>
    </rPh>
    <rPh sb="27" eb="28">
      <t>キ</t>
    </rPh>
    <rPh sb="32" eb="34">
      <t>トウショウ</t>
    </rPh>
    <rPh sb="34" eb="37">
      <t>フタンガク</t>
    </rPh>
    <rPh sb="38" eb="41">
      <t>ケイヤクキン</t>
    </rPh>
    <rPh sb="41" eb="42">
      <t>ガク</t>
    </rPh>
    <rPh sb="54" eb="57">
      <t>コウジヒ</t>
    </rPh>
    <rPh sb="57" eb="58">
      <t>トウ</t>
    </rPh>
    <rPh sb="68" eb="69">
      <t>エン</t>
    </rPh>
    <rPh sb="70" eb="73">
      <t>シヨウリョウ</t>
    </rPh>
    <rPh sb="74" eb="76">
      <t>タンカ</t>
    </rPh>
    <rPh sb="76" eb="78">
      <t>ケイヤク</t>
    </rPh>
    <rPh sb="84" eb="85">
      <t>エン</t>
    </rPh>
    <phoneticPr fontId="4"/>
  </si>
  <si>
    <t>22S611</t>
  </si>
  <si>
    <t>亜洋</t>
  </si>
  <si>
    <t>大西</t>
  </si>
  <si>
    <t>10-16</t>
  </si>
  <si>
    <t>「大臣主催昼食会及び事務レベル協議（太平洋・島サミット中間閣僚会合）」業務委嘱</t>
    <rPh sb="35" eb="37">
      <t>ギョウム</t>
    </rPh>
    <rPh sb="37" eb="39">
      <t>イショク</t>
    </rPh>
    <phoneticPr fontId="4"/>
  </si>
  <si>
    <t>株式会社ロイヤルパークホテル</t>
    <phoneticPr fontId="4"/>
  </si>
  <si>
    <t>東京都中央区日本橋蠣殻町２－１－１</t>
  </si>
  <si>
    <t>日程が直前に確定したため、競争入札を行う時間的余裕がなく、過去に同様の業務経験がある数社より見積書を招請した結果、もっとも廉価である同社に依頼したものであり、他に競争を許さないため（会計法第２９条の３第４項）。</t>
  </si>
  <si>
    <t>22W376</t>
  </si>
  <si>
    <t>10-17</t>
  </si>
  <si>
    <t>「電信システムの改修」業務委嘱</t>
    <rPh sb="1" eb="3">
      <t>デンシン</t>
    </rPh>
    <rPh sb="11" eb="13">
      <t>ギョウム</t>
    </rPh>
    <rPh sb="13" eb="15">
      <t>イショク</t>
    </rPh>
    <phoneticPr fontId="4"/>
  </si>
  <si>
    <t>22V229</t>
  </si>
  <si>
    <t>10-18</t>
  </si>
  <si>
    <t>２０１０年日本ＡＰＥＣ開催会議会場等借上等契約</t>
    <rPh sb="13" eb="15">
      <t>カイギ</t>
    </rPh>
    <rPh sb="15" eb="17">
      <t>カイジョウ</t>
    </rPh>
    <rPh sb="20" eb="21">
      <t>トウ</t>
    </rPh>
    <rPh sb="21" eb="23">
      <t>ケイヤク</t>
    </rPh>
    <phoneticPr fontId="4"/>
  </si>
  <si>
    <t>本件は開催地である横浜市からの提案を基に調査を行った結果会議開催が可能と判断された施設であり、他に競争を許さないため（会計法第２９条の３第４項）。</t>
  </si>
  <si>
    <t>22G670
22G671</t>
    <phoneticPr fontId="34"/>
  </si>
  <si>
    <t>会計課管理室／管理班</t>
  </si>
  <si>
    <t>村田</t>
    <rPh sb="0" eb="2">
      <t>ムラタ</t>
    </rPh>
    <phoneticPr fontId="34"/>
  </si>
  <si>
    <t>10-19</t>
  </si>
  <si>
    <t>「ポリ塩化ビフェニル（ＰＣＢ）廃棄物処理業務及び収集・運搬」業務委嘱</t>
    <rPh sb="30" eb="32">
      <t>ギョウム</t>
    </rPh>
    <rPh sb="32" eb="34">
      <t>イショク</t>
    </rPh>
    <phoneticPr fontId="4"/>
  </si>
  <si>
    <t>日本環境安全事業株式会社</t>
  </si>
  <si>
    <t>東京都港区芝１－７－１７</t>
  </si>
  <si>
    <t>PCB廃棄物は電力会社なと膨大なPCB廃棄物を保管する事業者を除いて、国の指導監視のもと、全国５ヶ所にある日本環境安全事業株式会社のPCB廃棄物処理施設に処理を委託して処分することができ、同社は同廃棄物処理を委託できる唯一の業者であり、他に競争を許さないため（会計法第２９条の３第４項）。</t>
    <rPh sb="3" eb="6">
      <t>ハイキブツ</t>
    </rPh>
    <rPh sb="7" eb="9">
      <t>デンリョク</t>
    </rPh>
    <rPh sb="9" eb="11">
      <t>ガイシャ</t>
    </rPh>
    <rPh sb="13" eb="15">
      <t>ボウダイ</t>
    </rPh>
    <rPh sb="19" eb="22">
      <t>ハイキブツ</t>
    </rPh>
    <rPh sb="23" eb="25">
      <t>ホカン</t>
    </rPh>
    <rPh sb="27" eb="30">
      <t>ジギョウシャ</t>
    </rPh>
    <rPh sb="31" eb="32">
      <t>ノゾ</t>
    </rPh>
    <rPh sb="35" eb="36">
      <t>クニ</t>
    </rPh>
    <rPh sb="37" eb="39">
      <t>シドウ</t>
    </rPh>
    <rPh sb="39" eb="41">
      <t>カンシ</t>
    </rPh>
    <rPh sb="45" eb="47">
      <t>ゼンコク</t>
    </rPh>
    <rPh sb="49" eb="50">
      <t>ショ</t>
    </rPh>
    <rPh sb="53" eb="55">
      <t>ニホン</t>
    </rPh>
    <rPh sb="55" eb="57">
      <t>カンキョウ</t>
    </rPh>
    <rPh sb="57" eb="59">
      <t>アンゼン</t>
    </rPh>
    <rPh sb="59" eb="61">
      <t>ジギョウ</t>
    </rPh>
    <rPh sb="61" eb="65">
      <t>カブシキガイシャ</t>
    </rPh>
    <rPh sb="69" eb="72">
      <t>ハイキブツ</t>
    </rPh>
    <rPh sb="72" eb="74">
      <t>ショリ</t>
    </rPh>
    <rPh sb="74" eb="76">
      <t>シセツ</t>
    </rPh>
    <rPh sb="77" eb="79">
      <t>ショリ</t>
    </rPh>
    <rPh sb="80" eb="82">
      <t>イタク</t>
    </rPh>
    <rPh sb="84" eb="86">
      <t>ショブン</t>
    </rPh>
    <rPh sb="94" eb="95">
      <t>ドウ</t>
    </rPh>
    <rPh sb="95" eb="96">
      <t>シャ</t>
    </rPh>
    <rPh sb="97" eb="98">
      <t>ドウ</t>
    </rPh>
    <rPh sb="98" eb="101">
      <t>ハイキブツ</t>
    </rPh>
    <rPh sb="101" eb="103">
      <t>ショリ</t>
    </rPh>
    <rPh sb="104" eb="106">
      <t>イタク</t>
    </rPh>
    <rPh sb="109" eb="111">
      <t>ユイイツ</t>
    </rPh>
    <rPh sb="112" eb="114">
      <t>ギョウシャ</t>
    </rPh>
    <rPh sb="118" eb="119">
      <t>タ</t>
    </rPh>
    <rPh sb="120" eb="122">
      <t>キョウソウ</t>
    </rPh>
    <rPh sb="123" eb="124">
      <t>ユル</t>
    </rPh>
    <phoneticPr fontId="4"/>
  </si>
  <si>
    <t>22Z268</t>
  </si>
  <si>
    <t>10-20</t>
  </si>
  <si>
    <t>現在稼働中のシステムの移設業務を同システムの開発業者である契約の相手方に委嘱するものであり、通信に障害を及ぼすことなく安定運用を確実に遂行しうる者は他になく、他に競争を許さないため（会計法第２９条の３第４項）。</t>
  </si>
  <si>
    <t>22J084</t>
  </si>
  <si>
    <t>10-21</t>
  </si>
  <si>
    <t>「ボツワナ大統領一行接遇（宿舎等契約）」業務委嘱</t>
    <rPh sb="10" eb="12">
      <t>セツグウ</t>
    </rPh>
    <rPh sb="13" eb="15">
      <t>シュクシャ</t>
    </rPh>
    <rPh sb="15" eb="16">
      <t>トウ</t>
    </rPh>
    <rPh sb="16" eb="18">
      <t>ケイヤク</t>
    </rPh>
    <rPh sb="20" eb="22">
      <t>ギョウム</t>
    </rPh>
    <rPh sb="22" eb="24">
      <t>イショク</t>
    </rPh>
    <phoneticPr fontId="4"/>
  </si>
  <si>
    <t>22J088</t>
  </si>
  <si>
    <t>10-22</t>
  </si>
  <si>
    <t>「グアテマラ大統領一行接遇（宿舎等契約）」業務委嘱</t>
    <rPh sb="11" eb="13">
      <t>セツグウ</t>
    </rPh>
    <rPh sb="14" eb="16">
      <t>シュクシャ</t>
    </rPh>
    <rPh sb="16" eb="17">
      <t>トウ</t>
    </rPh>
    <rPh sb="17" eb="19">
      <t>ケイヤク</t>
    </rPh>
    <rPh sb="21" eb="23">
      <t>ギョウム</t>
    </rPh>
    <rPh sb="23" eb="25">
      <t>イショク</t>
    </rPh>
    <phoneticPr fontId="4"/>
  </si>
  <si>
    <t>22W386</t>
  </si>
  <si>
    <t>10-23</t>
  </si>
  <si>
    <t>「会計手続システムの次世代共通プラットフォームへの移行作業」業務委嘱</t>
    <rPh sb="30" eb="32">
      <t>ギョウム</t>
    </rPh>
    <rPh sb="32" eb="34">
      <t>イショク</t>
    </rPh>
    <phoneticPr fontId="4"/>
  </si>
  <si>
    <t>現在稼働中のシステムを新たに構築するプラットフォームに移行する作業を同システムの開発業者である契約の相手方に委嘱するものであり、通信に障害を及ぼすことなく安定運用を確実に遂行しうる者は他になく、他に競争を許さないため（会計法第２９条の３第４項）。</t>
  </si>
  <si>
    <t>22Q293</t>
  </si>
  <si>
    <t>10-24</t>
  </si>
  <si>
    <t>「外務大臣の米国及びベトナム訪問に伴うチャーター機運行」業務委嘱</t>
    <rPh sb="28" eb="30">
      <t>ギョウム</t>
    </rPh>
    <rPh sb="30" eb="32">
      <t>イショク</t>
    </rPh>
    <phoneticPr fontId="4"/>
  </si>
  <si>
    <t>丸紅エアロスペース株式会社</t>
  </si>
  <si>
    <t>東京都千代田区大手町１－４－２</t>
  </si>
  <si>
    <t>日程が直前に確定したため、競争入札を行う時間的余裕がなく、同種の業務経験を有する者のうち、価格、受入れ態勢、使用機材等について総合的に判断した結果、同社が最適であり、他に競争を許さないため（会計法第２９条の３第４項）。</t>
  </si>
  <si>
    <t>22V237</t>
  </si>
  <si>
    <t>10-25</t>
  </si>
  <si>
    <t>「２０１０年日本ＡＰＥＣにおける新規拠点設置に伴うＬＡＮ設計等」業務委嘱</t>
  </si>
  <si>
    <t>本件は外務省独自のネットワークであるクローズドＬＡＮ及びオープンＬＡＮにかかる設計等作業であり当該ネットワークの仕様を熟知している必要があるが、当該業者以外に仕様を熟知している者はおらず、他に競争を許さないため（会計法第２９条の３第４項）。</t>
  </si>
  <si>
    <t>22W394</t>
  </si>
  <si>
    <t>10-26</t>
  </si>
  <si>
    <t>「平成２２年人事院勧告による給与法改正（案）に伴う給与計算関連システムの改修」業務委嘱</t>
    <rPh sb="39" eb="41">
      <t>ギョウム</t>
    </rPh>
    <rPh sb="41" eb="43">
      <t>イショク</t>
    </rPh>
    <phoneticPr fontId="4"/>
  </si>
  <si>
    <t>民551</t>
    <rPh sb="0" eb="1">
      <t>ミン</t>
    </rPh>
    <phoneticPr fontId="2"/>
  </si>
  <si>
    <t>22G717
22F177</t>
    <phoneticPr fontId="34"/>
  </si>
  <si>
    <t>10-27</t>
  </si>
  <si>
    <t>「日中研究交流支援事業（第一分野）」業務委嘱</t>
    <rPh sb="18" eb="20">
      <t>ギョウム</t>
    </rPh>
    <rPh sb="20" eb="22">
      <t>イショク</t>
    </rPh>
    <phoneticPr fontId="4"/>
  </si>
  <si>
    <t>早稲田大学現代中国研究所</t>
  </si>
  <si>
    <t>東京都新宿区西早稲田１－６－１</t>
  </si>
  <si>
    <t>22J093</t>
  </si>
  <si>
    <t>10-28</t>
  </si>
  <si>
    <t>「インド首相一行接遇（宿舎等契約）」業務委嘱</t>
    <rPh sb="8" eb="10">
      <t>セツグウ</t>
    </rPh>
    <rPh sb="11" eb="13">
      <t>シュクシャ</t>
    </rPh>
    <rPh sb="13" eb="14">
      <t>トウ</t>
    </rPh>
    <rPh sb="14" eb="16">
      <t>ケイヤク</t>
    </rPh>
    <rPh sb="18" eb="20">
      <t>ギョウム</t>
    </rPh>
    <rPh sb="20" eb="22">
      <t>イショク</t>
    </rPh>
    <phoneticPr fontId="4"/>
  </si>
  <si>
    <t>OK</t>
    <phoneticPr fontId="2"/>
  </si>
  <si>
    <t>22J094</t>
  </si>
  <si>
    <t>10-29</t>
  </si>
  <si>
    <t>「ガボン大統領一行接遇（宿舎等契約）」業務委嘱</t>
    <rPh sb="9" eb="11">
      <t>セツグウ</t>
    </rPh>
    <rPh sb="12" eb="14">
      <t>シュクシャ</t>
    </rPh>
    <rPh sb="14" eb="15">
      <t>トウ</t>
    </rPh>
    <rPh sb="15" eb="17">
      <t>ケイヤク</t>
    </rPh>
    <rPh sb="19" eb="21">
      <t>ギョウム</t>
    </rPh>
    <rPh sb="21" eb="23">
      <t>イショク</t>
    </rPh>
    <phoneticPr fontId="4"/>
  </si>
  <si>
    <t>22G718</t>
  </si>
  <si>
    <t>亜東１</t>
  </si>
  <si>
    <t>10-30</t>
  </si>
  <si>
    <t>「日中韓首脳会議開催に伴う同時通訳」業務委嘱</t>
  </si>
  <si>
    <t>通常、総理等の外国訪問は、直前に決定されるため入札は不可能であり、本契約相手方はこの種の公式通訳が可能な経験豊富な者を迅速に手配可能であり、他に競争を許さないため（会計法第２９条の３第４項）。</t>
  </si>
  <si>
    <t>⑥アAﾆ(ﾍ)</t>
    <phoneticPr fontId="2"/>
  </si>
  <si>
    <t>22W395</t>
  </si>
  <si>
    <t>10-31</t>
  </si>
  <si>
    <t>「ホームページシステムのサーバ移行」業務委嘱</t>
    <rPh sb="18" eb="20">
      <t>ギョウム</t>
    </rPh>
    <rPh sb="20" eb="22">
      <t>イショク</t>
    </rPh>
    <phoneticPr fontId="4"/>
  </si>
  <si>
    <t>22V244</t>
  </si>
  <si>
    <t>10-32</t>
  </si>
  <si>
    <t>「２０１０年日本ＡＰＥＣ首脳会議会場囲繞内における耐震バースＹＣＡＴ占有部分借上等」業務委嘱</t>
    <rPh sb="38" eb="40">
      <t>カリアゲ</t>
    </rPh>
    <rPh sb="40" eb="41">
      <t>トウ</t>
    </rPh>
    <rPh sb="42" eb="44">
      <t>ギョウム</t>
    </rPh>
    <rPh sb="44" eb="46">
      <t>イショク</t>
    </rPh>
    <phoneticPr fontId="4"/>
  </si>
  <si>
    <t>横浜シティ・エア・ターミナル株式会社</t>
  </si>
  <si>
    <t>神奈川県横浜市西区高島２－１９－１２</t>
  </si>
  <si>
    <t>本件は当該業者の所有地の借上げ等にかかる業務であり、他に競争を許さないため（会計法第２９条の３第４項）。</t>
  </si>
  <si>
    <t>本件は各省庁による合同契約であり、契約金額１７，９５０，６５１円のうち、取り決めにより当省負担額は８，０７７，７９３円となっている。</t>
  </si>
  <si>
    <t>22V242</t>
  </si>
  <si>
    <t>10-33</t>
  </si>
  <si>
    <t>「２０１０年日本ＡＰＥＣ首脳会議会場囲繞内における船舶」賃貸借契約</t>
    <rPh sb="28" eb="31">
      <t>チンタイシャク</t>
    </rPh>
    <rPh sb="31" eb="33">
      <t>ケイヤク</t>
    </rPh>
    <phoneticPr fontId="4"/>
  </si>
  <si>
    <t>株式会社マリンツーリスト</t>
  </si>
  <si>
    <t>神奈川県横浜市中区海岸通４－２２</t>
  </si>
  <si>
    <t>本件は当該業者の所有物である船舶の借上げにかかる業務であり、他に競争を許さないため（会計法第２９条の３第４項）。</t>
  </si>
  <si>
    <t>本件は各省庁による合同契約であり、契約金額１，４４７，７２７円のうち、取り決めにより当省負担額は６５１，４７７円となっている。</t>
  </si>
  <si>
    <t>22V252</t>
  </si>
  <si>
    <t>10-34</t>
  </si>
  <si>
    <t>「２０１０年日本ＡＰＥＣにおけるパシフィコ横浜借上等」業務委嘱</t>
    <rPh sb="25" eb="26">
      <t>トウ</t>
    </rPh>
    <rPh sb="27" eb="29">
      <t>ギョウム</t>
    </rPh>
    <rPh sb="29" eb="31">
      <t>イショク</t>
    </rPh>
    <phoneticPr fontId="4"/>
  </si>
  <si>
    <t>本件は開催地である横浜市からの提案を基に各調査を行った結果、会議開催が可能と判断された施設であり、他に競争を許さないため（会計法第２９条の３第４項）。</t>
  </si>
  <si>
    <t>本件は各省庁による合同契約であり、契約金額６２１，６１１，５７７円のうち、取り決めにより当省負担額は２７９，７２５，２０９円となっている。</t>
  </si>
  <si>
    <t>22V269</t>
  </si>
  <si>
    <t>10-35</t>
  </si>
  <si>
    <t>「２０１０年日本ＡＰＥＣにおける港湾施設用地」賃貸借契約</t>
    <rPh sb="23" eb="26">
      <t>チンタイシャク</t>
    </rPh>
    <rPh sb="26" eb="28">
      <t>ケイヤク</t>
    </rPh>
    <phoneticPr fontId="4"/>
  </si>
  <si>
    <t>借上げ地である港湾施設用地は横浜市が管理をしており、他に競争を許さないため（会計法第２９条の３第４項）。</t>
  </si>
  <si>
    <t>本件は各省庁による合同契約であり、契約金額２，３３０，１１７円のうち、取り決めにより当省負担額は１，０４８，５５２円となっている。</t>
  </si>
  <si>
    <t>22V247</t>
  </si>
  <si>
    <t>10-36</t>
  </si>
  <si>
    <t>「２０１０年日本ＡＰＥＣ開催に伴う識別証発給所借上等」業務委嘱</t>
    <rPh sb="25" eb="26">
      <t>トウ</t>
    </rPh>
    <rPh sb="27" eb="29">
      <t>ギョウム</t>
    </rPh>
    <rPh sb="29" eb="31">
      <t>イショク</t>
    </rPh>
    <phoneticPr fontId="4"/>
  </si>
  <si>
    <t>一般社団法人横浜みなとみらい２１</t>
  </si>
  <si>
    <t xml:space="preserve">本件は各省庁による合同契約であり、契約金額のうち、取り決めにより当省負担額は契約金額の４５％となっている。
借料：１，８７２，０４５円
電気料（単価契約）：＠２０円ほか
</t>
  </si>
  <si>
    <t>22J096</t>
  </si>
  <si>
    <t>10-37</t>
  </si>
  <si>
    <t>「イエメン外相一行接遇（宿舎等契約）」業務委嘱</t>
    <rPh sb="12" eb="14">
      <t>シュクシャ</t>
    </rPh>
    <rPh sb="14" eb="15">
      <t>トウ</t>
    </rPh>
    <rPh sb="15" eb="17">
      <t>ケイヤク</t>
    </rPh>
    <rPh sb="19" eb="21">
      <t>ギョウム</t>
    </rPh>
    <rPh sb="21" eb="23">
      <t>イショク</t>
    </rPh>
    <phoneticPr fontId="4"/>
  </si>
  <si>
    <t>株式会社帝国ホテル</t>
    <rPh sb="0" eb="4">
      <t>カブシキガイシャ</t>
    </rPh>
    <phoneticPr fontId="4"/>
  </si>
  <si>
    <t>賓客側からの希望を踏まえ、警備、立地条件、受入れ体制などを総合的に判断した結果、最適であり、他に競争を許さないため（会計法第２９条の３第４項）。</t>
  </si>
  <si>
    <t>在外公館課／購送班</t>
    <rPh sb="0" eb="2">
      <t>ザイガイ</t>
    </rPh>
    <rPh sb="2" eb="5">
      <t>コウカンカ</t>
    </rPh>
    <rPh sb="6" eb="9">
      <t>コウソウハン</t>
    </rPh>
    <phoneticPr fontId="34"/>
  </si>
  <si>
    <t>石田</t>
    <rPh sb="0" eb="2">
      <t>イシダ</t>
    </rPh>
    <phoneticPr fontId="34"/>
  </si>
  <si>
    <t>11-01</t>
    <phoneticPr fontId="4"/>
  </si>
  <si>
    <t>「在外公館向け公邸用旧規格食器（クリスタルグラス）補充分」の作成契約</t>
    <rPh sb="2" eb="3">
      <t>ガイ</t>
    </rPh>
    <rPh sb="3" eb="5">
      <t>コウカン</t>
    </rPh>
    <rPh sb="10" eb="11">
      <t>キュウ</t>
    </rPh>
    <rPh sb="30" eb="32">
      <t>サクセイ</t>
    </rPh>
    <rPh sb="32" eb="34">
      <t>ケイヤク</t>
    </rPh>
    <phoneticPr fontId="34"/>
  </si>
  <si>
    <t>カガミクリスタル株式会社</t>
    <phoneticPr fontId="4"/>
  </si>
  <si>
    <t>茨城県龍ヶ崎市向陽台４－５</t>
  </si>
  <si>
    <t>本件の規格食器は一般的には流通しておらず、各食器の供給元が製造元の本業者のみであり、他に競争を許さないため（会計法第２９条の３第４項）。</t>
    <rPh sb="0" eb="2">
      <t>ホンケン</t>
    </rPh>
    <rPh sb="3" eb="5">
      <t>キカク</t>
    </rPh>
    <rPh sb="5" eb="7">
      <t>ショッキ</t>
    </rPh>
    <rPh sb="8" eb="11">
      <t>イッパンテキ</t>
    </rPh>
    <rPh sb="13" eb="15">
      <t>リュウツウ</t>
    </rPh>
    <rPh sb="21" eb="22">
      <t>カク</t>
    </rPh>
    <rPh sb="22" eb="24">
      <t>ショッキ</t>
    </rPh>
    <rPh sb="25" eb="27">
      <t>キョウキュウ</t>
    </rPh>
    <rPh sb="27" eb="28">
      <t>モト</t>
    </rPh>
    <rPh sb="29" eb="32">
      <t>セイゾウモト</t>
    </rPh>
    <rPh sb="33" eb="34">
      <t>ホン</t>
    </rPh>
    <rPh sb="34" eb="36">
      <t>ギョウシャ</t>
    </rPh>
    <rPh sb="42" eb="43">
      <t>タ</t>
    </rPh>
    <rPh sb="44" eb="46">
      <t>キョウソウ</t>
    </rPh>
    <rPh sb="47" eb="48">
      <t>ユル</t>
    </rPh>
    <phoneticPr fontId="34"/>
  </si>
  <si>
    <t>民493</t>
    <rPh sb="0" eb="1">
      <t>ミン</t>
    </rPh>
    <phoneticPr fontId="2"/>
  </si>
  <si>
    <t>在外公館課／購送班</t>
  </si>
  <si>
    <t>11-02</t>
    <phoneticPr fontId="4"/>
  </si>
  <si>
    <t>「在外公館向け公邸用旧規格食器（和食器：漆器）補充分」の作成契約</t>
    <rPh sb="1" eb="3">
      <t>ザイガイ</t>
    </rPh>
    <rPh sb="3" eb="5">
      <t>コウカン</t>
    </rPh>
    <rPh sb="28" eb="30">
      <t>サクセイ</t>
    </rPh>
    <rPh sb="30" eb="32">
      <t>ケイヤク</t>
    </rPh>
    <phoneticPr fontId="34"/>
  </si>
  <si>
    <t>株式会社山田平安堂</t>
    <phoneticPr fontId="4"/>
  </si>
  <si>
    <t>東京都渋谷区猿楽町１８－１２</t>
  </si>
  <si>
    <t>民492</t>
    <rPh sb="0" eb="1">
      <t>ミン</t>
    </rPh>
    <phoneticPr fontId="2"/>
  </si>
  <si>
    <t>11-03</t>
  </si>
  <si>
    <t>「在外公館向け公邸用旧規格食器（和食器：京陶器）補充分」の作成契約</t>
    <rPh sb="1" eb="3">
      <t>ザイガイ</t>
    </rPh>
    <rPh sb="3" eb="5">
      <t>コウカン</t>
    </rPh>
    <rPh sb="29" eb="31">
      <t>サクセイ</t>
    </rPh>
    <rPh sb="31" eb="33">
      <t>ケイヤク</t>
    </rPh>
    <phoneticPr fontId="34"/>
  </si>
  <si>
    <t>有限会社伯庵</t>
    <phoneticPr fontId="4"/>
  </si>
  <si>
    <t>京都府京都市東山区泉涌寺東林町３９－２５</t>
  </si>
  <si>
    <t>22V251</t>
  </si>
  <si>
    <t>11-04</t>
  </si>
  <si>
    <t>「日本ＡＰＥＣ首脳会議等に係る接遇等」業務委嘱</t>
  </si>
  <si>
    <t>神奈川県</t>
    <phoneticPr fontId="4"/>
  </si>
  <si>
    <t>神奈川県横浜市中区日本大通１</t>
  </si>
  <si>
    <t>日本ＡＰＥＣ首脳会議等においては、地元自治体の協力を踏まえることが極めて重要であり、各エコノミー高級実務者に対する接遇業務等を神奈川県職員に委ねることにより、大きな成果を期待することが出来る。また、基本となる人件費が除かれることから、費用面においても経済的であり、他に競争を許さないため（会計法第２９条の３第４項）。</t>
  </si>
  <si>
    <t>本件は各省庁による合同契約であり，契約金額のうち，取り決めにより当省負担額は契約金額の４５％となっている。
単価契約</t>
  </si>
  <si>
    <t>22V253</t>
  </si>
  <si>
    <t>11-05</t>
  </si>
  <si>
    <t>日本ＡＰＥＣ首脳会議等においては、地元自治体の協力を踏まえることが極めて重要であり、各エコノミー高級実務者に対する接遇等を横浜市職員に委ねることにより、大きな成果を期待することが出来る。また、基本となる人件費が除かれることから、費用面においても経済的であり、他に競争を許さないため（会計法第２９条の３第４項）。</t>
  </si>
  <si>
    <t>本件は各省庁による合同契約であり，契約金額のうち，取り決めにより当省負担は契約金額の４５％となっている。
単価契約</t>
  </si>
  <si>
    <t>22V257</t>
  </si>
  <si>
    <t>11-06</t>
  </si>
  <si>
    <t>「２０１０年日本ＡＰＥＣリーダーズウィークにおける会場施設」賃貸借等契約</t>
    <rPh sb="30" eb="33">
      <t>チンタイシャク</t>
    </rPh>
    <rPh sb="34" eb="36">
      <t>ケイヤク</t>
    </rPh>
    <phoneticPr fontId="34"/>
  </si>
  <si>
    <t>株式会社ヨコハマグランドインターコンチネンタルホテル</t>
    <phoneticPr fontId="4"/>
  </si>
  <si>
    <t>本件は各省庁の合同契約であり，契約金額６１２，１２２，４５５円のうち，取り決めにより当省負担額は２７５，４５５，１０５円となっている。</t>
  </si>
  <si>
    <t>22V256</t>
  </si>
  <si>
    <t>11-07</t>
  </si>
  <si>
    <t>「２０１０年日本ＡＰＥＣ首脳会議会場囲繞内における関連施設」賃貸借契約</t>
    <rPh sb="33" eb="35">
      <t>ケイヤク</t>
    </rPh>
    <phoneticPr fontId="34"/>
  </si>
  <si>
    <t>株式会社ティーズ</t>
    <phoneticPr fontId="4"/>
  </si>
  <si>
    <t>神奈川県横浜市西区みなとみらい１－１－１</t>
    <rPh sb="0" eb="3">
      <t>カナガワ</t>
    </rPh>
    <rPh sb="3" eb="4">
      <t>ケン</t>
    </rPh>
    <phoneticPr fontId="34"/>
  </si>
  <si>
    <t>当該業者の所有するレストランは、ＡＰＥＣにおいて入場制限を設けている区域に存在するため同レストランの借上げを行うものであり、他に競争を許さないため（会計法第２９条の３第４項）。</t>
  </si>
  <si>
    <t>本件は各省庁の合同契約であり，契約金額９，２２１，００９円のうち，取り決めにより当省負担は４，１４９，４５４円となっている。</t>
  </si>
  <si>
    <t>11-08</t>
  </si>
  <si>
    <t>株式会社フォーシーズンズジャパン</t>
    <phoneticPr fontId="4"/>
  </si>
  <si>
    <t>神奈川県横浜市中区海岸通１－１</t>
  </si>
  <si>
    <t>本件は各省庁の合同契約であり，契約金額６，６２５，７１７円のうち，取り決めにより当省負担額は，２，９８１，５７２円となっている</t>
  </si>
  <si>
    <t>22Z295</t>
  </si>
  <si>
    <t>11-09</t>
  </si>
  <si>
    <t>「基幹通信網関連機器等の設置作業」業務委嘱</t>
    <rPh sb="1" eb="3">
      <t>キカン</t>
    </rPh>
    <rPh sb="17" eb="19">
      <t>ギョウム</t>
    </rPh>
    <rPh sb="19" eb="21">
      <t>イショク</t>
    </rPh>
    <phoneticPr fontId="34"/>
  </si>
  <si>
    <t>現在稼働中のシステムの一部拡張を同システムの開発業者である契約の相手方に委嘱するものであり、通信に障害を及ぼすことなく安定運用を確実に遂行しうる者は他になく、他に競争を許さないため（会計法第２９条の３第４項）。</t>
  </si>
  <si>
    <t>22Q338</t>
  </si>
  <si>
    <t>会</t>
    <rPh sb="0" eb="1">
      <t>カイ</t>
    </rPh>
    <phoneticPr fontId="34"/>
  </si>
  <si>
    <t>会計課管理室／管理班</t>
    <rPh sb="0" eb="3">
      <t>カイケイカ</t>
    </rPh>
    <rPh sb="3" eb="6">
      <t>カンリシツ</t>
    </rPh>
    <rPh sb="7" eb="9">
      <t>カンリ</t>
    </rPh>
    <rPh sb="9" eb="10">
      <t>ハン</t>
    </rPh>
    <phoneticPr fontId="34"/>
  </si>
  <si>
    <t>平野</t>
    <rPh sb="0" eb="2">
      <t>ヒラノ</t>
    </rPh>
    <phoneticPr fontId="34"/>
  </si>
  <si>
    <t>11-10</t>
  </si>
  <si>
    <t>「ＰＡＳＭＯ」の購入</t>
  </si>
  <si>
    <t>株式会社メトロコマース</t>
    <rPh sb="0" eb="4">
      <t>カブシキガイシャ</t>
    </rPh>
    <phoneticPr fontId="34"/>
  </si>
  <si>
    <t>東京都台東区東上野６－９－３</t>
    <rPh sb="0" eb="3">
      <t>トウキョウト</t>
    </rPh>
    <rPh sb="3" eb="4">
      <t>ダイ</t>
    </rPh>
    <rPh sb="4" eb="6">
      <t>トウク</t>
    </rPh>
    <rPh sb="6" eb="7">
      <t>ヒガシ</t>
    </rPh>
    <rPh sb="7" eb="9">
      <t>ウエノ</t>
    </rPh>
    <phoneticPr fontId="34"/>
  </si>
  <si>
    <t>株式会社ＰＡＳＭＯに加盟している鉄道２６事業者，バス７６事業者のいずれにおいても購入条件は同じであり，特殊の物品である為買入先が特定されており，他に競争を許さないため（会計法第２９条の３第４項）。</t>
  </si>
  <si>
    <t>22V255</t>
  </si>
  <si>
    <t>11-11</t>
  </si>
  <si>
    <t>「ＡＰＥＣにおけるクローズドＬＡＮ及びオープンＬＡＮ運用支援要員派遣」業務委嘱</t>
  </si>
  <si>
    <t>本件を当該業者以外に委嘱した場合、外務省独自のネットワークであるクローズドＬＡＮ・オープンＬＡＮの仕様等を開示する必要があり、保秘の観点から、他に競争を許さないため（会計法第２９条の３第４項）。</t>
    <rPh sb="63" eb="64">
      <t>ホ</t>
    </rPh>
    <rPh sb="64" eb="65">
      <t>ヒ</t>
    </rPh>
    <phoneticPr fontId="34"/>
  </si>
  <si>
    <t>22V265</t>
  </si>
  <si>
    <t>11-12</t>
  </si>
  <si>
    <t>「２０１０年日本ＡＰＥＣ首脳会議会場に隣接するピア赤レンガ桟橋」賃貸借契約</t>
    <rPh sb="35" eb="37">
      <t>ケイヤク</t>
    </rPh>
    <phoneticPr fontId="34"/>
  </si>
  <si>
    <t>株式会社ポートサービス</t>
    <phoneticPr fontId="4"/>
  </si>
  <si>
    <t>神奈川県横浜市中区山下町２</t>
    <rPh sb="0" eb="4">
      <t>カナガワケン</t>
    </rPh>
    <phoneticPr fontId="34"/>
  </si>
  <si>
    <t>本件は当該業者の管理する桟橋をセキュリティーの観点から借り上げるものであり、他に競争を許さないため（会計法第２９条の３第４項）。</t>
  </si>
  <si>
    <t>本件は各省庁の合同契約であり，契約金額１，８９０，０００円のうち，取り決めにより当省負担は８５０，５００円となっている。</t>
  </si>
  <si>
    <t>22J927</t>
  </si>
  <si>
    <t>ア（企画）</t>
    <rPh sb="2" eb="4">
      <t>キカク</t>
    </rPh>
    <phoneticPr fontId="4"/>
  </si>
  <si>
    <t>11-13</t>
  </si>
  <si>
    <t>「開発援助研修事業」委託契約</t>
  </si>
  <si>
    <t>東京都港区赤坂７－１－１６</t>
  </si>
  <si>
    <t>法42</t>
    <rPh sb="0" eb="1">
      <t>ホウ</t>
    </rPh>
    <phoneticPr fontId="2"/>
  </si>
  <si>
    <t>22V276</t>
  </si>
  <si>
    <t>11-14</t>
  </si>
  <si>
    <t>「２０１０年日本ＡＰＥＣリーダーズウィークにおける首脳・閣僚等接遇（宿舎等契約）」業務委嘱</t>
    <rPh sb="31" eb="33">
      <t>セツグウ</t>
    </rPh>
    <rPh sb="34" eb="36">
      <t>シュクシャ</t>
    </rPh>
    <rPh sb="36" eb="37">
      <t>トウ</t>
    </rPh>
    <rPh sb="37" eb="39">
      <t>ケイヤク</t>
    </rPh>
    <rPh sb="41" eb="43">
      <t>ギョウム</t>
    </rPh>
    <rPh sb="43" eb="45">
      <t>イショク</t>
    </rPh>
    <phoneticPr fontId="34"/>
  </si>
  <si>
    <t>株式会社横浜ベイホテル東急　　　　　　　　　　　　　　パンパシフィックホテル横浜ベイホテル東急</t>
    <rPh sb="0" eb="4">
      <t>カブシキガイシャ</t>
    </rPh>
    <rPh sb="4" eb="6">
      <t>ヨコハマ</t>
    </rPh>
    <rPh sb="11" eb="13">
      <t>トウキュウ</t>
    </rPh>
    <phoneticPr fontId="34"/>
  </si>
  <si>
    <t>神奈川県横浜市西区みなとみらい２－３－７</t>
  </si>
  <si>
    <t>本件は各省庁の合同契約であり，契約金額３５，９６８，２０８円のうち，取り決めにより当省負担額は１６，１８５，６９４円となっている。</t>
  </si>
  <si>
    <t>22Z293</t>
  </si>
  <si>
    <t>吉田</t>
  </si>
  <si>
    <t>11-15</t>
  </si>
  <si>
    <t>「外交行嚢用封緘具」の作成契約</t>
    <rPh sb="11" eb="13">
      <t>サクセイ</t>
    </rPh>
    <rPh sb="13" eb="15">
      <t>ケイヤク</t>
    </rPh>
    <phoneticPr fontId="34"/>
  </si>
  <si>
    <t>株式会社フォーサイト</t>
    <phoneticPr fontId="4"/>
  </si>
  <si>
    <t>東京都中央区八丁堀４－１０－８</t>
  </si>
  <si>
    <t>当初の契約において、複数年度にわたる契約期間を条件としており、他に競争を許さないため。（会計法29条の３第４項）</t>
  </si>
  <si>
    <t>22V277</t>
  </si>
  <si>
    <t>11-16</t>
  </si>
  <si>
    <t>株式会社横浜ロイヤルパークホテル</t>
    <phoneticPr fontId="4"/>
  </si>
  <si>
    <t>神奈川県横浜市西区みなとみらい２－２－１－３</t>
  </si>
  <si>
    <t>本件は各省庁の合同契約であり，契約金額１０，９６４，６８６円のうち，取り決めにより当省負担額は４，９３４，１０９円となっている。</t>
  </si>
  <si>
    <t>22V278</t>
  </si>
  <si>
    <t>11-17</t>
  </si>
  <si>
    <t>相鉄ホテル株式会社</t>
    <phoneticPr fontId="4"/>
  </si>
  <si>
    <t>神奈川県横浜市西区北幸１－３－２３</t>
  </si>
  <si>
    <t>本件は各省庁の合同契約であり，契約金額２，２９７，１００円のうち，取り決めにより当省負担額は１，０３３，６９５円となっている。</t>
  </si>
  <si>
    <t>不落</t>
    <rPh sb="0" eb="1">
      <t>フ</t>
    </rPh>
    <rPh sb="1" eb="2">
      <t>ラク</t>
    </rPh>
    <phoneticPr fontId="2"/>
  </si>
  <si>
    <t>22G753</t>
  </si>
  <si>
    <t>11-18</t>
  </si>
  <si>
    <t>「台頭する新興国と日本外交についての調査研究」業務委嘱</t>
    <rPh sb="23" eb="25">
      <t>ギョウム</t>
    </rPh>
    <rPh sb="25" eb="27">
      <t>イショク</t>
    </rPh>
    <phoneticPr fontId="34"/>
  </si>
  <si>
    <t>財団法人平和・安全保障研究所</t>
    <phoneticPr fontId="4"/>
  </si>
  <si>
    <t>再度の入札をもってしても落札者がなかったため、最も廉価であった入札業者である同社に対して予定価格の範囲内で交渉をしており、他に競争を許さないため（予算決算及び会計令第９９条２）。</t>
  </si>
  <si>
    <t>22V280</t>
  </si>
  <si>
    <t>11-19</t>
  </si>
  <si>
    <t>株式会社ホテルニューグランド</t>
    <phoneticPr fontId="4"/>
  </si>
  <si>
    <t>神奈川県横浜市中区山下町１０</t>
  </si>
  <si>
    <t>契約の相手方は当該地域において本会合の規模、警備、立地条件、受入態勢など一定の条件を満たす限られた施設の一つであり、他に競争を許さないため（会計法第２９条の３第４項）。</t>
  </si>
  <si>
    <t>本件は各省庁の合同契約であり，契約金額１，８８４，３００円のうち，取り決めにより当省負担は８４７，９３５円となっている。</t>
  </si>
  <si>
    <t>22V279</t>
  </si>
  <si>
    <t>11-20</t>
  </si>
  <si>
    <t>株式会社プリンスホテル　　　　　ザ・プリンス　パークタワー東京</t>
    <rPh sb="0" eb="4">
      <t>カブシキガイシャ</t>
    </rPh>
    <phoneticPr fontId="34"/>
  </si>
  <si>
    <t>東京都港区芝公園４－８－１</t>
  </si>
  <si>
    <t>本件は各省庁の合同契約であり，契約金額１，４８０，６００円のうち，取り決めにより当省負担額は６６６，２７０円となっている。</t>
  </si>
  <si>
    <t>22V290</t>
  </si>
  <si>
    <t>11-21</t>
  </si>
  <si>
    <t>シャングリ・ラ　ホテルズジャパン株式会社　　　　　　シャングリ・ラ　ホテル東京</t>
    <rPh sb="16" eb="20">
      <t>カブシキガイシャ</t>
    </rPh>
    <phoneticPr fontId="34"/>
  </si>
  <si>
    <t>東京都千代田区丸の内１－８－３</t>
  </si>
  <si>
    <t>本件は先方政府が独自に選定したホテルであり、他に競争を許さないため（会計法第２９条の３第４項）。</t>
  </si>
  <si>
    <t>本件は各省庁の合同契約であり，契約金額１，０６９，１５０円のうち，取り決めにより当省負担額は４８１，１１７円となっている。</t>
  </si>
  <si>
    <t>22W406</t>
  </si>
  <si>
    <t>11-22</t>
  </si>
  <si>
    <t>「外務省セキュリティ対策」業務委嘱</t>
    <rPh sb="13" eb="15">
      <t>ギョウム</t>
    </rPh>
    <rPh sb="15" eb="17">
      <t>イショク</t>
    </rPh>
    <phoneticPr fontId="34"/>
  </si>
  <si>
    <t>現在稼働中のシステムのセキュリティ対策業務を同システムの開発業者である契約の相手方に委嘱するものであり、費用面及び通信に障害を及ぼすことなく安定運用を確実に遂行しうる者は他になく、他に競争を許さないため。（会計法第29条の3第4項）</t>
    <rPh sb="90" eb="91">
      <t>ホカ</t>
    </rPh>
    <rPh sb="102" eb="116">
      <t>ジョウコウ</t>
    </rPh>
    <phoneticPr fontId="34"/>
  </si>
  <si>
    <t>22W407</t>
  </si>
  <si>
    <t>11-23</t>
  </si>
  <si>
    <t>「学習管理システムの機能追加」業務委嘱</t>
    <rPh sb="15" eb="17">
      <t>ギョウム</t>
    </rPh>
    <rPh sb="17" eb="19">
      <t>イショク</t>
    </rPh>
    <phoneticPr fontId="34"/>
  </si>
  <si>
    <t>22Z300</t>
  </si>
  <si>
    <t>11-24</t>
  </si>
  <si>
    <t>「在外公館における情報ネットワーク基盤及び基本業務システムの構築」業務委嘱</t>
    <rPh sb="33" eb="35">
      <t>ギョウム</t>
    </rPh>
    <rPh sb="35" eb="37">
      <t>イショク</t>
    </rPh>
    <phoneticPr fontId="34"/>
  </si>
  <si>
    <t>11-25</t>
  </si>
  <si>
    <t>「２０１０年日本ＡＰＥＣリーダーズウィークにおける首脳配偶者用ガウンドレス」の購入</t>
  </si>
  <si>
    <t>田勇機業株式会社</t>
    <phoneticPr fontId="4"/>
  </si>
  <si>
    <t>京都府京丹後市網野町浅茂川１１２</t>
  </si>
  <si>
    <t>本件は別途行った企画競争に基づき当該業者へ依頼するものであり、他に競争を許さないため（会計法第２９条の３第４項）。</t>
  </si>
  <si>
    <t>本件は各省庁の合同契約であり，契約金額１，９９５，０００円のうち，取り決めにより当省負担は８９７，７５０円となっている。</t>
  </si>
  <si>
    <t>11-26</t>
  </si>
  <si>
    <t>「２０１０年日本ＡＰＥＣリーダーズウィークにおける首脳贈呈用真空チタンカップセット」の購入</t>
  </si>
  <si>
    <t>ＮＯＯＫＡ　Ｊａｐａｎ株式会社</t>
    <phoneticPr fontId="4"/>
  </si>
  <si>
    <t>東京都港区南青山４－２５－６</t>
  </si>
  <si>
    <t>当該品は市場での数量が限定され，バイヤーの協力・調整等が不可欠であり特定の販売店から購入せざるを得ないため、他に競争を許さないため（会計法第２９条の３第４項）。</t>
  </si>
  <si>
    <t>本件は各省庁の合同契約であり，契約金額１，９３２，２１０円のうち取り決めにより当省負担は８６９，４９４円となっている。</t>
  </si>
  <si>
    <t>22V283</t>
  </si>
  <si>
    <t>11-27</t>
  </si>
  <si>
    <t>「ＡＰＥＣにおけるＣＥＯサミット・ワーキングランチ」開催業務委嘱</t>
  </si>
  <si>
    <t>ＣＥＯサミット開催場所がロイヤルパークホテルであり、人数、会食時間等に鑑み同一ホテルで行う為、他に競争を許さないため（会計法第２９条の３第４項）。</t>
  </si>
  <si>
    <t>本件は各省庁の合同契約であり，契約金額７，８２３，２８０円のうち，取り決めにより当省負担額は３，９１１，６４０円となっている。</t>
  </si>
  <si>
    <t>22V284</t>
  </si>
  <si>
    <t>11-28</t>
  </si>
  <si>
    <t>「ＡＰＥＣにおけるＣＥＯサミット・ワーキングランチ」開催業務委嘱</t>
    <rPh sb="26" eb="28">
      <t>カイサイ</t>
    </rPh>
    <phoneticPr fontId="34"/>
  </si>
  <si>
    <t>株式会社横浜ロイヤルパークホテル</t>
  </si>
  <si>
    <t>本件は各省庁の合同契約であり、契約金額７，７４７，６８０円のうち、取り決めにより当省負担額は３，８７３，８４０円となっている。</t>
  </si>
  <si>
    <t>22V285</t>
  </si>
  <si>
    <t>11-29</t>
  </si>
  <si>
    <t>「ＡＰＥＣにおけるＣＥＯサミット夕食会」開催業務委嘱</t>
    <rPh sb="20" eb="22">
      <t>カイサイ</t>
    </rPh>
    <rPh sb="22" eb="24">
      <t>ギョウム</t>
    </rPh>
    <rPh sb="24" eb="26">
      <t>イショク</t>
    </rPh>
    <phoneticPr fontId="34"/>
  </si>
  <si>
    <t>株式会社プリンスホテル　　　　　　　新横浜プリンスホテル</t>
    <rPh sb="0" eb="4">
      <t>カブシキガイシャ</t>
    </rPh>
    <phoneticPr fontId="34"/>
  </si>
  <si>
    <t>神奈川県横浜市港北区新横浜３－４</t>
  </si>
  <si>
    <t>ＣＥＯサミットの開催場所であるロイヤルパークホテルは、既に予約が入っており使用不可であり、人数・参加者の宿泊先等に鑑み当該ホテルを利用するものであり、他に競争を許さないため（会計法第２９条の３第４項）。</t>
  </si>
  <si>
    <t>本件は各省庁の合同契約であり、契約金額８，７３７，１５０円のうち、取り決めにより当省負担額は４，３６８，５７５円となっている。</t>
  </si>
  <si>
    <t>22G764</t>
  </si>
  <si>
    <t>11-30</t>
  </si>
  <si>
    <t>「アジア・紛争下での女性尊厳事業（韓国）」業務委嘱</t>
    <rPh sb="21" eb="23">
      <t>ギョウム</t>
    </rPh>
    <rPh sb="23" eb="25">
      <t>イショク</t>
    </rPh>
    <phoneticPr fontId="34"/>
  </si>
  <si>
    <t>本件は、平姓１８年末で解散した財団法人女性のためのアジア平和国民基金が行っていた事業のフォローアップ事業であり、道義的観点及び人権保護の観点から個人のプライバシーを守る必要があることから、本事業対象者の個人情報を守りつつ本事業を実施できるのは、同基金の事業に関与した本契約の相手方の他になく、他に競争を許さないため（会計法第２９条の３第４項）。</t>
  </si>
  <si>
    <t>22G557</t>
  </si>
  <si>
    <t>11-31</t>
  </si>
  <si>
    <t>「危機管理要員研修」業務委嘱</t>
    <rPh sb="10" eb="12">
      <t>ギョウム</t>
    </rPh>
    <rPh sb="12" eb="14">
      <t>イショク</t>
    </rPh>
    <phoneticPr fontId="34"/>
  </si>
  <si>
    <t>コントロール・リスクス・グループ株式会社</t>
    <phoneticPr fontId="4"/>
  </si>
  <si>
    <t>22W421</t>
  </si>
  <si>
    <t>11-32</t>
  </si>
  <si>
    <t>「『外国公館等情報システム』の次世代共通プラットフォームへの移行」業務委嘱</t>
    <rPh sb="33" eb="35">
      <t>ギョウム</t>
    </rPh>
    <rPh sb="35" eb="37">
      <t>イショク</t>
    </rPh>
    <phoneticPr fontId="34"/>
  </si>
  <si>
    <t>現在稼働中のシステムの新プラットフォームへの移行業務をシステムの開発業者である契約の相手方に委嘱するものであり、通信に障害を及ぼすことなく安定運用を確実に遂行しうる者は他になく、他に競争を許さないため（会計法第２９条の３第４項）。</t>
  </si>
  <si>
    <t>22F230</t>
  </si>
  <si>
    <t>中東１</t>
  </si>
  <si>
    <t>11-33</t>
  </si>
  <si>
    <t>「パレスチナ自治政府首相一行接遇（宿舎等契約）」業務委嘱</t>
    <rPh sb="14" eb="16">
      <t>セツグウ</t>
    </rPh>
    <rPh sb="17" eb="19">
      <t>シュクシャ</t>
    </rPh>
    <rPh sb="19" eb="20">
      <t>トウ</t>
    </rPh>
    <rPh sb="20" eb="22">
      <t>ケイヤク</t>
    </rPh>
    <rPh sb="24" eb="26">
      <t>ギョウム</t>
    </rPh>
    <rPh sb="26" eb="28">
      <t>イショク</t>
    </rPh>
    <phoneticPr fontId="34"/>
  </si>
  <si>
    <t>22W428</t>
  </si>
  <si>
    <t>11-34</t>
  </si>
  <si>
    <t>「『アプリケーション開発の基礎』等９講習会受講」業務委嘱</t>
    <rPh sb="24" eb="26">
      <t>ギョウム</t>
    </rPh>
    <rPh sb="26" eb="28">
      <t>イショク</t>
    </rPh>
    <phoneticPr fontId="34"/>
  </si>
  <si>
    <t>ＮＥＣラーニング株式会社</t>
    <phoneticPr fontId="4"/>
  </si>
  <si>
    <t>東京都港区芝浦３－１７－１２</t>
  </si>
  <si>
    <t>本講習を受講する際、受講者が必要とする具体的かつ詳細な講習内容を満たしているのは同社のみであったところ、他に競争を許さないため（会計法第２９条の３第４項）。</t>
  </si>
  <si>
    <t>鈴木</t>
  </si>
  <si>
    <t>11-35</t>
  </si>
  <si>
    <t>「在外公館向け公邸用新規格食器（銀器）補充分」の作成契約</t>
    <rPh sb="1" eb="3">
      <t>ザイガイ</t>
    </rPh>
    <rPh sb="3" eb="5">
      <t>コウカン</t>
    </rPh>
    <rPh sb="5" eb="6">
      <t>ム</t>
    </rPh>
    <rPh sb="24" eb="26">
      <t>サクセイ</t>
    </rPh>
    <rPh sb="26" eb="28">
      <t>ケイヤク</t>
    </rPh>
    <phoneticPr fontId="34"/>
  </si>
  <si>
    <t>株式会社百夢</t>
    <phoneticPr fontId="4"/>
  </si>
  <si>
    <t>東京都台東区東上野１－１１－１</t>
  </si>
  <si>
    <t>22J105</t>
  </si>
  <si>
    <t>11-36</t>
  </si>
  <si>
    <t>「公実賓バングラデシュ首相一行接遇（宿舎等契約）」業務委嘱</t>
    <rPh sb="15" eb="17">
      <t>セツグウ</t>
    </rPh>
    <rPh sb="18" eb="20">
      <t>シュクシャ</t>
    </rPh>
    <rPh sb="20" eb="21">
      <t>トウ</t>
    </rPh>
    <rPh sb="21" eb="23">
      <t>ケイヤク</t>
    </rPh>
    <rPh sb="25" eb="27">
      <t>ギョウム</t>
    </rPh>
    <rPh sb="27" eb="29">
      <t>イショク</t>
    </rPh>
    <phoneticPr fontId="34"/>
  </si>
  <si>
    <t>株式会社ニューオータニ</t>
    <phoneticPr fontId="4"/>
  </si>
  <si>
    <t>22Z309</t>
  </si>
  <si>
    <t>11-37</t>
  </si>
  <si>
    <t>「在外ＬＡＮサーバ入替えに伴う技術者派遣等一式」業務委嘱</t>
    <rPh sb="24" eb="26">
      <t>ギョウム</t>
    </rPh>
    <rPh sb="26" eb="28">
      <t>イショク</t>
    </rPh>
    <phoneticPr fontId="34"/>
  </si>
  <si>
    <t>22G681</t>
  </si>
  <si>
    <t>11-38</t>
  </si>
  <si>
    <t>「第６回日豪１．５トラック安全保障対話実施」業務委嘱</t>
    <rPh sb="24" eb="26">
      <t>イショク</t>
    </rPh>
    <phoneticPr fontId="34"/>
  </si>
  <si>
    <t>企画競争の結果同社が高い評価を得て確実な業務の履行が可能であると認められ、他に競争を許さないため（会計法第２９条の３第４項）。</t>
  </si>
  <si>
    <t>平成18年度、19年度、20年度は契約実績なし</t>
    <rPh sb="0" eb="2">
      <t>ヘイセイ</t>
    </rPh>
    <rPh sb="4" eb="6">
      <t>ネンド</t>
    </rPh>
    <rPh sb="9" eb="11">
      <t>ネンド</t>
    </rPh>
    <rPh sb="14" eb="16">
      <t>ネンド</t>
    </rPh>
    <rPh sb="17" eb="19">
      <t>ケイヤク</t>
    </rPh>
    <rPh sb="19" eb="21">
      <t>ジッセキ</t>
    </rPh>
    <phoneticPr fontId="34"/>
  </si>
  <si>
    <t>法75</t>
    <rPh sb="0" eb="1">
      <t>ホウ</t>
    </rPh>
    <phoneticPr fontId="2"/>
  </si>
  <si>
    <t>11-39</t>
  </si>
  <si>
    <t>「在外公館向け公邸用新規格食器（洋食磁器）新規配備及び追加補充分」の作成契約</t>
    <rPh sb="1" eb="3">
      <t>ザイガイ</t>
    </rPh>
    <rPh sb="3" eb="5">
      <t>コウカン</t>
    </rPh>
    <rPh sb="5" eb="6">
      <t>ム</t>
    </rPh>
    <rPh sb="34" eb="36">
      <t>サクセイ</t>
    </rPh>
    <rPh sb="36" eb="38">
      <t>ケイヤク</t>
    </rPh>
    <phoneticPr fontId="34"/>
  </si>
  <si>
    <t>株式会社ノリタケカンパニーリミテド</t>
    <phoneticPr fontId="4"/>
  </si>
  <si>
    <t>愛知県名古屋市西区則武新町３－１－３６</t>
  </si>
  <si>
    <t>22V266</t>
  </si>
  <si>
    <t>11-40</t>
  </si>
  <si>
    <t>２０１０年日本ＡＰＥＣにおける羽田空港内無線通信網構築工事契約</t>
    <rPh sb="29" eb="31">
      <t>ケイヤク</t>
    </rPh>
    <phoneticPr fontId="34"/>
  </si>
  <si>
    <t>本件工事場所である羽田空港第一旅客ターミナルビル内は、当該業者が指定業者として指名されているため、他に競争を許さないため（会計法第２９条の３第４項）。</t>
  </si>
  <si>
    <t>本件は各省庁の合同契約であり，契約金額２，８３５，０００円のうち，取り決めにより当省負担額は１，２７５，７５０円となっている。</t>
  </si>
  <si>
    <t>公共工事</t>
    <rPh sb="0" eb="2">
      <t>コウキョウ</t>
    </rPh>
    <rPh sb="2" eb="4">
      <t>コウジ</t>
    </rPh>
    <phoneticPr fontId="4"/>
  </si>
  <si>
    <t>22X080</t>
  </si>
  <si>
    <t>12-01</t>
    <phoneticPr fontId="4"/>
  </si>
  <si>
    <t>「平成２２年度『海外安全・パスポート管理促進キャンペーン』事業」業務委嘱</t>
    <rPh sb="32" eb="34">
      <t>ギョウム</t>
    </rPh>
    <rPh sb="34" eb="36">
      <t>イショク</t>
    </rPh>
    <phoneticPr fontId="34"/>
  </si>
  <si>
    <t>平成22年12月1日</t>
  </si>
  <si>
    <t>株式会社ダイナモ</t>
  </si>
  <si>
    <t>東京都港区赤坂７－６－３８</t>
  </si>
  <si>
    <t>22G806
22F267</t>
  </si>
  <si>
    <t>12-02</t>
    <phoneticPr fontId="4"/>
  </si>
  <si>
    <t>「日中研究交流支援事業（第２分野）」業務委嘱</t>
    <rPh sb="18" eb="20">
      <t>ギョウム</t>
    </rPh>
    <rPh sb="20" eb="22">
      <t>イショク</t>
    </rPh>
    <phoneticPr fontId="34"/>
  </si>
  <si>
    <t>特定非営利活動法人日中産学官交流機構</t>
  </si>
  <si>
    <t>東京都千代田区九段南２－３－１８</t>
  </si>
  <si>
    <t>企画競争の結果、同社が最も高い評価を得て確実な業務の履行が可能であると認められ、競争を許さないため（会計法第２９条の３第４項）。</t>
  </si>
  <si>
    <t>22Z318</t>
  </si>
  <si>
    <t>12-03</t>
  </si>
  <si>
    <t>「基幹通信網関連機器の設置作業（在ジブチ大）」業務委嘱</t>
    <rPh sb="23" eb="25">
      <t>ギョウム</t>
    </rPh>
    <rPh sb="25" eb="27">
      <t>イショク</t>
    </rPh>
    <phoneticPr fontId="34"/>
  </si>
  <si>
    <t>平成22年12月2日</t>
  </si>
  <si>
    <t>22G810</t>
  </si>
  <si>
    <t>12-04</t>
  </si>
  <si>
    <t>「外務大臣の日米韓外相会合出席にかかる通訳」業務委嘱</t>
    <rPh sb="22" eb="24">
      <t>ギョウム</t>
    </rPh>
    <rPh sb="24" eb="26">
      <t>イショク</t>
    </rPh>
    <phoneticPr fontId="34"/>
  </si>
  <si>
    <t>通常、外務大臣等の外国訪問は、直前に決定されるため入札は不可能であり、本契約相手方はこの種の公式通訳が可能な経験豊富な者を迅速に手配可能であり、他に競争を許さないため（会計法第２９条の３第４項）。</t>
    <rPh sb="56" eb="58">
      <t>ホウフ</t>
    </rPh>
    <rPh sb="59" eb="60">
      <t>モノ</t>
    </rPh>
    <phoneticPr fontId="34"/>
  </si>
  <si>
    <t>22G549</t>
  </si>
  <si>
    <t>地連</t>
  </si>
  <si>
    <t>12-05</t>
  </si>
  <si>
    <t>「外務省ホームページ『グローカル外交ネット』コンサルティング」業務委嘱</t>
    <rPh sb="31" eb="33">
      <t>ギョウム</t>
    </rPh>
    <rPh sb="33" eb="35">
      <t>イショク</t>
    </rPh>
    <phoneticPr fontId="34"/>
  </si>
  <si>
    <t>平成22年12月3日</t>
  </si>
  <si>
    <t>株式会社アスコエパートナーズ</t>
  </si>
  <si>
    <t>東京都中央区築地４－１－１２</t>
  </si>
  <si>
    <t>企画競争の結果、同社が最も高い評価を得て確実な業務の履行が可能であると認められ、他に競争を許さないため（会計法第２９条の３第４項）。</t>
    <rPh sb="40" eb="41">
      <t>タ</t>
    </rPh>
    <rPh sb="42" eb="44">
      <t>キョウソウ</t>
    </rPh>
    <rPh sb="45" eb="46">
      <t>ユル</t>
    </rPh>
    <phoneticPr fontId="34"/>
  </si>
  <si>
    <t>22W450</t>
  </si>
  <si>
    <t>12-06</t>
  </si>
  <si>
    <t>「海外安全ホームページのシステム移行」業務委嘱</t>
    <rPh sb="19" eb="21">
      <t>ギョウム</t>
    </rPh>
    <rPh sb="21" eb="23">
      <t>イショク</t>
    </rPh>
    <phoneticPr fontId="34"/>
  </si>
  <si>
    <t>平成22年12月6日</t>
  </si>
  <si>
    <t>22Z323</t>
  </si>
  <si>
    <t>12-07</t>
  </si>
  <si>
    <t>「相互バックアップに係る設計・構築一式」業務委嘱</t>
    <rPh sb="20" eb="22">
      <t>ギョウム</t>
    </rPh>
    <rPh sb="22" eb="24">
      <t>イショク</t>
    </rPh>
    <phoneticPr fontId="34"/>
  </si>
  <si>
    <t>22W429</t>
  </si>
  <si>
    <t>12-08</t>
  </si>
  <si>
    <t>「電子入札・開札システムにおける民間認証局電子証明書対応のためのアプリケーション改修」業務委嘱</t>
    <rPh sb="43" eb="45">
      <t>ギョウム</t>
    </rPh>
    <rPh sb="45" eb="47">
      <t>イショク</t>
    </rPh>
    <phoneticPr fontId="34"/>
  </si>
  <si>
    <t>22Q448</t>
  </si>
  <si>
    <t>12-09</t>
  </si>
  <si>
    <t>「外務省主催レセプション」開催業務委嘱</t>
    <rPh sb="13" eb="15">
      <t>カイサイ</t>
    </rPh>
    <rPh sb="15" eb="17">
      <t>ギョウム</t>
    </rPh>
    <rPh sb="17" eb="19">
      <t>イショク</t>
    </rPh>
    <phoneticPr fontId="34"/>
  </si>
  <si>
    <t>株式会社プリンスホテル　グランドプリンスホテル赤坂</t>
  </si>
  <si>
    <t>東京都千代田区紀尾井町１―２</t>
    <rPh sb="0" eb="3">
      <t>トウキョウト</t>
    </rPh>
    <phoneticPr fontId="34"/>
  </si>
  <si>
    <t>再度の入札をもってしても落札者がなかったため、唯一の入札業者である同社に対し予定価格範囲内で契約を交渉しており、他に競争を許さないため（予算決算及び会計令第９９条の２）。</t>
    <rPh sb="68" eb="70">
      <t>ヨサン</t>
    </rPh>
    <rPh sb="70" eb="72">
      <t>ケッサン</t>
    </rPh>
    <rPh sb="72" eb="73">
      <t>オヨ</t>
    </rPh>
    <rPh sb="74" eb="76">
      <t>カイケイ</t>
    </rPh>
    <rPh sb="76" eb="77">
      <t>レイ</t>
    </rPh>
    <rPh sb="77" eb="78">
      <t>ダイ</t>
    </rPh>
    <rPh sb="80" eb="81">
      <t>ジョウ</t>
    </rPh>
    <phoneticPr fontId="34"/>
  </si>
  <si>
    <t>12-10</t>
  </si>
  <si>
    <t>「在エジプト日本国大使館新事務所整備等事業にかかる事業契約変更のための法務関連業務」業務委嘱</t>
    <rPh sb="42" eb="44">
      <t>ギョウム</t>
    </rPh>
    <rPh sb="44" eb="46">
      <t>イショク</t>
    </rPh>
    <phoneticPr fontId="34"/>
  </si>
  <si>
    <t>アンダーソン・毛利・友常法律事務所</t>
  </si>
  <si>
    <t>東京都港区六本木１－６－１</t>
  </si>
  <si>
    <t>過去における法律相談等の継続性・整合性を保ちつつ、円滑な対応を確保していくためには、これまでに培った実績と情報の蓄積が必要不可欠であり、また、当省との間に十分な信頼関係を確立出来ている者は、本契約の相手方の他になく、他に競争を許さないため。(会計法第２９条の３第４項)</t>
  </si>
  <si>
    <t>22W451</t>
  </si>
  <si>
    <t>12-11</t>
  </si>
  <si>
    <t>「管理者評価システム保守・運用支援」業務委嘱</t>
    <rPh sb="18" eb="20">
      <t>ギョウム</t>
    </rPh>
    <rPh sb="20" eb="22">
      <t>イショク</t>
    </rPh>
    <phoneticPr fontId="34"/>
  </si>
  <si>
    <t>平成22年12月7日</t>
  </si>
  <si>
    <t>民531</t>
    <rPh sb="0" eb="1">
      <t>ミン</t>
    </rPh>
    <phoneticPr fontId="2"/>
  </si>
  <si>
    <t>22Q529</t>
  </si>
  <si>
    <t>12-12</t>
  </si>
  <si>
    <t>「外務省ホームページ『世界の医療事情』の改訂」業務委嘱</t>
    <rPh sb="23" eb="25">
      <t>ギョウム</t>
    </rPh>
    <rPh sb="25" eb="27">
      <t>イショク</t>
    </rPh>
    <phoneticPr fontId="34"/>
  </si>
  <si>
    <t>平成22年12月8日</t>
  </si>
  <si>
    <t>22W457</t>
  </si>
  <si>
    <t>12-13</t>
  </si>
  <si>
    <t>「在外ＬＡＮ用ネットワーク監視装置入替作業一式」業務委嘱</t>
    <rPh sb="24" eb="26">
      <t>ギョウム</t>
    </rPh>
    <rPh sb="26" eb="28">
      <t>イショク</t>
    </rPh>
    <phoneticPr fontId="34"/>
  </si>
  <si>
    <t>平成22年12月9日</t>
  </si>
  <si>
    <t>22W454</t>
  </si>
  <si>
    <t>12-14</t>
  </si>
  <si>
    <t>「基幹通信網関連機器等の移設作業（在コートジボアール大）」業務委嘱</t>
    <rPh sb="29" eb="31">
      <t>ギョウム</t>
    </rPh>
    <rPh sb="31" eb="33">
      <t>イショク</t>
    </rPh>
    <phoneticPr fontId="34"/>
  </si>
  <si>
    <t>22S656</t>
  </si>
  <si>
    <t>12-15</t>
  </si>
  <si>
    <t>「日米硫黄島戦没者合同慰霊追悼顕彰式チャーター機運行」業務委嘱</t>
    <rPh sb="23" eb="24">
      <t>キ</t>
    </rPh>
    <rPh sb="24" eb="26">
      <t>ウンコウ</t>
    </rPh>
    <rPh sb="27" eb="29">
      <t>ギョウム</t>
    </rPh>
    <rPh sb="29" eb="31">
      <t>イショク</t>
    </rPh>
    <phoneticPr fontId="34"/>
  </si>
  <si>
    <t>平成22年12月14日</t>
  </si>
  <si>
    <t>株式会社日本航空インターナショナル</t>
  </si>
  <si>
    <t>東京都品川区東品川２－４－１１</t>
  </si>
  <si>
    <t>22W458</t>
  </si>
  <si>
    <t>12-16</t>
  </si>
  <si>
    <t>「在アフガニスタン大用在外ＬＡＮサーバ構築作業一式」業務委嘱</t>
    <rPh sb="26" eb="28">
      <t>ギョウム</t>
    </rPh>
    <rPh sb="28" eb="30">
      <t>イショク</t>
    </rPh>
    <phoneticPr fontId="34"/>
  </si>
  <si>
    <t>22W466</t>
  </si>
  <si>
    <t>12-17</t>
  </si>
  <si>
    <t>「国会関連業務支援システム新機能の追加構築」業務委嘱</t>
    <rPh sb="22" eb="24">
      <t>ギョウム</t>
    </rPh>
    <rPh sb="24" eb="26">
      <t>イショク</t>
    </rPh>
    <phoneticPr fontId="34"/>
  </si>
  <si>
    <t>平成22年12月15日</t>
  </si>
  <si>
    <t>富士テレコム株式会社</t>
  </si>
  <si>
    <t>東京都板橋区板橋１－５３－２</t>
  </si>
  <si>
    <t>民472</t>
    <rPh sb="0" eb="1">
      <t>ミン</t>
    </rPh>
    <phoneticPr fontId="2"/>
  </si>
  <si>
    <t>Ok</t>
    <phoneticPr fontId="2"/>
  </si>
  <si>
    <t>22J112</t>
  </si>
  <si>
    <t>12-18</t>
  </si>
  <si>
    <t>「ジブチ大統領一行接遇（宿舎等契約）」業務委嘱</t>
    <rPh sb="9" eb="11">
      <t>セツグウ</t>
    </rPh>
    <rPh sb="12" eb="14">
      <t>シュクシャ</t>
    </rPh>
    <rPh sb="14" eb="15">
      <t>トウ</t>
    </rPh>
    <rPh sb="15" eb="17">
      <t>ケイヤク</t>
    </rPh>
    <rPh sb="19" eb="21">
      <t>ギョウム</t>
    </rPh>
    <rPh sb="21" eb="23">
      <t>イショク</t>
    </rPh>
    <phoneticPr fontId="34"/>
  </si>
  <si>
    <t>22G827</t>
  </si>
  <si>
    <t>小椋</t>
  </si>
  <si>
    <t>12-19</t>
  </si>
  <si>
    <t>「文化無償資金協力フォローアップ事業『アゼルバイジャン国立図書館に対するマイクロフィルム及び視聴覚機材提供』」業務委嘱</t>
    <rPh sb="51" eb="53">
      <t>テイキョウ</t>
    </rPh>
    <rPh sb="55" eb="57">
      <t>ギョウム</t>
    </rPh>
    <rPh sb="57" eb="59">
      <t>イショク</t>
    </rPh>
    <phoneticPr fontId="34"/>
  </si>
  <si>
    <t>平成22年12月17日</t>
  </si>
  <si>
    <t>株式会社栄光舎</t>
  </si>
  <si>
    <t>東京都目黒区中目黒１－８－８</t>
  </si>
  <si>
    <t>本件保守用部品の提供が可能な業者は、当該機器の製造業者である本契約の相手方の他になく、他に競争を許さないため（会計法第２９条の３第４項）。</t>
  </si>
  <si>
    <t>在</t>
    <rPh sb="0" eb="1">
      <t>ザイ</t>
    </rPh>
    <phoneticPr fontId="34"/>
  </si>
  <si>
    <t>在外公館課／購送班</t>
    <rPh sb="0" eb="2">
      <t>ザイガイ</t>
    </rPh>
    <rPh sb="2" eb="4">
      <t>コウカン</t>
    </rPh>
    <rPh sb="4" eb="5">
      <t>カ</t>
    </rPh>
    <rPh sb="6" eb="8">
      <t>コウソウ</t>
    </rPh>
    <rPh sb="8" eb="9">
      <t>ハン</t>
    </rPh>
    <phoneticPr fontId="34"/>
  </si>
  <si>
    <t>鈴木</t>
    <rPh sb="0" eb="2">
      <t>スズキ</t>
    </rPh>
    <phoneticPr fontId="34"/>
  </si>
  <si>
    <t>12-20</t>
  </si>
  <si>
    <t>「公邸会食用新規格食器（和食器）」の作成契約</t>
    <rPh sb="1" eb="3">
      <t>コウテイ</t>
    </rPh>
    <rPh sb="3" eb="5">
      <t>カイショク</t>
    </rPh>
    <rPh sb="5" eb="6">
      <t>ヨウ</t>
    </rPh>
    <rPh sb="6" eb="7">
      <t>シン</t>
    </rPh>
    <rPh sb="7" eb="9">
      <t>キカク</t>
    </rPh>
    <rPh sb="9" eb="11">
      <t>ショッキ</t>
    </rPh>
    <rPh sb="12" eb="14">
      <t>ワショク</t>
    </rPh>
    <rPh sb="14" eb="15">
      <t>ウツワ</t>
    </rPh>
    <rPh sb="18" eb="20">
      <t>サクセイ</t>
    </rPh>
    <rPh sb="20" eb="22">
      <t>ケイヤク</t>
    </rPh>
    <phoneticPr fontId="34"/>
  </si>
  <si>
    <t>平成22年12月21日</t>
  </si>
  <si>
    <t>株式会社山口陶器店</t>
    <rPh sb="0" eb="4">
      <t>カブシキガイシャ</t>
    </rPh>
    <rPh sb="4" eb="6">
      <t>ヤマグチ</t>
    </rPh>
    <rPh sb="6" eb="9">
      <t>トウキテン</t>
    </rPh>
    <phoneticPr fontId="34"/>
  </si>
  <si>
    <t>東京都中央区築地６－２６－３</t>
    <rPh sb="0" eb="3">
      <t>トウキョウト</t>
    </rPh>
    <rPh sb="3" eb="6">
      <t>チュウオウク</t>
    </rPh>
    <rPh sb="6" eb="8">
      <t>ツキジ</t>
    </rPh>
    <phoneticPr fontId="34"/>
  </si>
  <si>
    <t>本件の規格食器は一般的には流通しておらず、各食器の供給元が製造元の本業者のみであり、他に競争を許さないため（会計法第２９条の３第４項）。</t>
    <rPh sb="0" eb="2">
      <t>ホンケン</t>
    </rPh>
    <rPh sb="3" eb="5">
      <t>キカク</t>
    </rPh>
    <rPh sb="5" eb="7">
      <t>ショッキ</t>
    </rPh>
    <rPh sb="8" eb="11">
      <t>イッパンテキ</t>
    </rPh>
    <rPh sb="13" eb="15">
      <t>リュウツウ</t>
    </rPh>
    <rPh sb="21" eb="22">
      <t>カク</t>
    </rPh>
    <rPh sb="22" eb="24">
      <t>ショッキ</t>
    </rPh>
    <rPh sb="25" eb="28">
      <t>キョウキュウモト</t>
    </rPh>
    <rPh sb="29" eb="32">
      <t>セイゾウモト</t>
    </rPh>
    <rPh sb="33" eb="34">
      <t>ホン</t>
    </rPh>
    <rPh sb="34" eb="36">
      <t>ギョウシャ</t>
    </rPh>
    <rPh sb="42" eb="43">
      <t>ホカ</t>
    </rPh>
    <rPh sb="44" eb="46">
      <t>キョウソウ</t>
    </rPh>
    <rPh sb="47" eb="48">
      <t>ユル</t>
    </rPh>
    <rPh sb="54" eb="57">
      <t>カイケイホウ</t>
    </rPh>
    <rPh sb="57" eb="58">
      <t>ダイ</t>
    </rPh>
    <rPh sb="60" eb="61">
      <t>ジョウ</t>
    </rPh>
    <rPh sb="63" eb="64">
      <t>ダイ</t>
    </rPh>
    <rPh sb="65" eb="66">
      <t>コウ</t>
    </rPh>
    <phoneticPr fontId="34"/>
  </si>
  <si>
    <t>22W435</t>
  </si>
  <si>
    <t>12-21</t>
  </si>
  <si>
    <t>「国際協力局経済協力情報管理システムの移行」業務委嘱</t>
    <rPh sb="22" eb="24">
      <t>ギョウム</t>
    </rPh>
    <rPh sb="24" eb="26">
      <t>イショク</t>
    </rPh>
    <phoneticPr fontId="34"/>
  </si>
  <si>
    <t>平成22年12月22日</t>
  </si>
  <si>
    <t>22W485</t>
  </si>
  <si>
    <t>12-22</t>
  </si>
  <si>
    <t>「業務系プラットフォーム用中継Ｌ３ＳＷ導入及び追加設計等」業務委嘱</t>
    <rPh sb="29" eb="31">
      <t>ギョウム</t>
    </rPh>
    <rPh sb="31" eb="33">
      <t>イショク</t>
    </rPh>
    <phoneticPr fontId="34"/>
  </si>
  <si>
    <t>平成22年12月24日</t>
  </si>
  <si>
    <t>現在構築中のシステムの追加設計業務等を同システムの構築中である契約の相手方に委嘱するものであり、通信に障害を及ぼすことなく安定運用を確実に遂行しうる者は他になく、他に競争を許さないため（会計法第２９条の３第４項）。</t>
  </si>
  <si>
    <t>22Z341</t>
  </si>
  <si>
    <t>12-23</t>
  </si>
  <si>
    <t>「基幹通信網関連機器等の移設作業（在イエメン大）」業務委嘱</t>
    <rPh sb="25" eb="27">
      <t>ギョウム</t>
    </rPh>
    <rPh sb="27" eb="29">
      <t>イショク</t>
    </rPh>
    <phoneticPr fontId="34"/>
  </si>
  <si>
    <t>22W484</t>
  </si>
  <si>
    <t>12-24</t>
  </si>
  <si>
    <t>「旅費ネットワークの次世代共通プラットフォームへの移行作業」業務委嘱</t>
    <rPh sb="30" eb="32">
      <t>ギョウム</t>
    </rPh>
    <rPh sb="32" eb="34">
      <t>イショク</t>
    </rPh>
    <phoneticPr fontId="34"/>
  </si>
  <si>
    <t>22W482</t>
  </si>
  <si>
    <t>12-25</t>
  </si>
  <si>
    <t>「リモートアクセス環境（ＵＡＧ）サーバ構築」業務委嘱</t>
    <rPh sb="22" eb="24">
      <t>ギョウム</t>
    </rPh>
    <rPh sb="24" eb="26">
      <t>イショク</t>
    </rPh>
    <phoneticPr fontId="34"/>
  </si>
  <si>
    <t>平成22年12月27日</t>
  </si>
  <si>
    <t>22G862</t>
  </si>
  <si>
    <t>12-26</t>
  </si>
  <si>
    <t>「メディア情勢調査」業務委託</t>
  </si>
  <si>
    <t>22W461</t>
  </si>
  <si>
    <t>01-01</t>
    <phoneticPr fontId="4"/>
  </si>
  <si>
    <t>「ＯＤＡホームページの再構築」業務委嘱</t>
    <rPh sb="15" eb="17">
      <t>ギョウム</t>
    </rPh>
    <rPh sb="17" eb="19">
      <t>イショク</t>
    </rPh>
    <phoneticPr fontId="4"/>
  </si>
  <si>
    <t>平成23年1月4日</t>
  </si>
  <si>
    <t>エヌ・ティ・ティラーニングシステムズ株式会社</t>
    <phoneticPr fontId="4"/>
  </si>
  <si>
    <t>22G883</t>
  </si>
  <si>
    <t>01-02</t>
    <phoneticPr fontId="4"/>
  </si>
  <si>
    <t>「外務大臣の訪米に伴う通訳」業務委嘱</t>
    <rPh sb="1" eb="3">
      <t>ガイム</t>
    </rPh>
    <rPh sb="16" eb="18">
      <t>イショク</t>
    </rPh>
    <phoneticPr fontId="4"/>
  </si>
  <si>
    <t>株式会社リンガバンク</t>
    <phoneticPr fontId="4"/>
  </si>
  <si>
    <t>大臣の外国訪問が直前に決定されたため入札は不可能であり、本契約相手方はこの種の公式通訳が可能な経験豊富な者を迅速に手配可能であり、他に競争を許さないため（会計法第２９条の３第４項）。</t>
  </si>
  <si>
    <t>②アAﾆ(ﾆ)</t>
    <phoneticPr fontId="4"/>
  </si>
  <si>
    <t>22W445</t>
  </si>
  <si>
    <t>01-03</t>
  </si>
  <si>
    <t>「ＡＬＯＳ『だいち』衛星画像データ」の購入</t>
  </si>
  <si>
    <t>平成23年1月5日</t>
  </si>
  <si>
    <t>財団法人リモート・センシング技術センター</t>
    <phoneticPr fontId="4"/>
  </si>
  <si>
    <t>調達物品の販売権は本契約相手先のみが有しており、他に競争を許さないため（会計法第２９条の３第４項）。</t>
  </si>
  <si>
    <t>22G872</t>
  </si>
  <si>
    <t>01-04</t>
  </si>
  <si>
    <t>「ジャーナリスト会議」開催業務委嘱</t>
    <rPh sb="11" eb="13">
      <t>カイサイ</t>
    </rPh>
    <rPh sb="13" eb="15">
      <t>ギョウム</t>
    </rPh>
    <rPh sb="15" eb="17">
      <t>イショク</t>
    </rPh>
    <phoneticPr fontId="4"/>
  </si>
  <si>
    <t>財団法人フォーリン・プレスセンター</t>
    <phoneticPr fontId="4"/>
  </si>
  <si>
    <t>22M211</t>
  </si>
  <si>
    <t>01-05</t>
  </si>
  <si>
    <t>「ＩＣ旅券入力機の改修（申請書読取位置変更等）」業務委嘱</t>
    <rPh sb="24" eb="26">
      <t>ギョウム</t>
    </rPh>
    <rPh sb="26" eb="28">
      <t>イショク</t>
    </rPh>
    <phoneticPr fontId="4"/>
  </si>
  <si>
    <t>平成23年1月11日</t>
  </si>
  <si>
    <t>22Z352</t>
  </si>
  <si>
    <t>松永</t>
  </si>
  <si>
    <t>01-06</t>
  </si>
  <si>
    <t>「在イエメン大使館在外ＬＡＮ機器移設」業務委嘱</t>
    <rPh sb="19" eb="21">
      <t>ギョウム</t>
    </rPh>
    <rPh sb="21" eb="23">
      <t>イショク</t>
    </rPh>
    <phoneticPr fontId="4"/>
  </si>
  <si>
    <t>22Z351</t>
  </si>
  <si>
    <t>01-07</t>
  </si>
  <si>
    <t>「在デンマーク大使館在外ＬＡＮ機器移設」業務委嘱</t>
    <rPh sb="20" eb="22">
      <t>ギョウム</t>
    </rPh>
    <rPh sb="22" eb="24">
      <t>イショク</t>
    </rPh>
    <phoneticPr fontId="4"/>
  </si>
  <si>
    <t>22X127</t>
  </si>
  <si>
    <t>01-08</t>
  </si>
  <si>
    <t>「観光誘致関連啓発品（ノート）の制作」業務委嘱</t>
    <rPh sb="19" eb="21">
      <t>ギョウム</t>
    </rPh>
    <rPh sb="21" eb="23">
      <t>イショク</t>
    </rPh>
    <phoneticPr fontId="4"/>
  </si>
  <si>
    <t>株式会社クレオ・ムイナス</t>
    <phoneticPr fontId="4"/>
  </si>
  <si>
    <t>北海道札幌市中央区円山西町１－６－９</t>
  </si>
  <si>
    <t>22Z310
22W432</t>
  </si>
  <si>
    <t>01-09</t>
  </si>
  <si>
    <t>「在外公館情報ネットワーク最適化に係る検証及び設計等」業務委嘱</t>
    <rPh sb="27" eb="29">
      <t>ギョウム</t>
    </rPh>
    <rPh sb="29" eb="31">
      <t>イショク</t>
    </rPh>
    <phoneticPr fontId="4"/>
  </si>
  <si>
    <t>平成23年1月12日</t>
  </si>
  <si>
    <t>ＫＤＤＩ株式会社</t>
    <phoneticPr fontId="4"/>
  </si>
  <si>
    <t>22M199</t>
  </si>
  <si>
    <t>01-10</t>
  </si>
  <si>
    <t>日立キャピタル株式会社</t>
    <phoneticPr fontId="4"/>
  </si>
  <si>
    <t>東京都千代田区飯田橋２－１８－２</t>
  </si>
  <si>
    <t>当該機器等は今後も一定期間は業務上の使用に耐えられるところ、引き続き現行機器等を賃貸借することが同等物件の新規調達に比べ割安であり、業務効率・運用面から、他に競争を許さないため（会計法第２９条の３第４項）。</t>
  </si>
  <si>
    <t>22W515</t>
  </si>
  <si>
    <t>01-11</t>
  </si>
  <si>
    <t>「『業務系共通プラットフォーム』ネットワーク設計変更等」業務委嘱</t>
    <rPh sb="28" eb="30">
      <t>ギョウム</t>
    </rPh>
    <rPh sb="30" eb="32">
      <t>イショク</t>
    </rPh>
    <phoneticPr fontId="4"/>
  </si>
  <si>
    <t>平成23年1月13日</t>
  </si>
  <si>
    <t>本件プログラムサポートが可能な者は、当該プログラムの製造業者である本契約の相手方の他になく、他に競争を許さないため（会計法第２９条の３第４項）。</t>
  </si>
  <si>
    <t>22Z359</t>
  </si>
  <si>
    <t>01-12</t>
  </si>
  <si>
    <t>「在デンマーク大使館基幹通信網関連機器等移設」業務委嘱</t>
    <rPh sb="1" eb="2">
      <t>ザイ</t>
    </rPh>
    <rPh sb="7" eb="10">
      <t>タイシカン</t>
    </rPh>
    <rPh sb="23" eb="25">
      <t>ギョウム</t>
    </rPh>
    <rPh sb="25" eb="27">
      <t>イショク</t>
    </rPh>
    <phoneticPr fontId="4"/>
  </si>
  <si>
    <t>22W524</t>
  </si>
  <si>
    <t>01-13</t>
  </si>
  <si>
    <t>「トレンドマイクロ社製品等バージョンアップ作業」業務委嘱</t>
    <rPh sb="24" eb="26">
      <t>ギョウム</t>
    </rPh>
    <rPh sb="26" eb="28">
      <t>イショク</t>
    </rPh>
    <phoneticPr fontId="4"/>
  </si>
  <si>
    <t>平成23年1月14日</t>
  </si>
  <si>
    <t>22W489</t>
  </si>
  <si>
    <t>01-14</t>
  </si>
  <si>
    <t>「旅費ネットワークシステムの改修」業務委嘱</t>
    <rPh sb="17" eb="19">
      <t>ギョウム</t>
    </rPh>
    <rPh sb="19" eb="21">
      <t>イショク</t>
    </rPh>
    <phoneticPr fontId="4"/>
  </si>
  <si>
    <t>民544</t>
    <rPh sb="0" eb="1">
      <t>ミン</t>
    </rPh>
    <phoneticPr fontId="2"/>
  </si>
  <si>
    <t>22G892</t>
  </si>
  <si>
    <t>01-15</t>
  </si>
  <si>
    <t>「我が国外交情報（インターネット）のモニタリング」業務委嘱</t>
    <rPh sb="27" eb="29">
      <t>イショク</t>
    </rPh>
    <phoneticPr fontId="4"/>
  </si>
  <si>
    <t>株式会社ジャパンエコー社</t>
    <phoneticPr fontId="4"/>
  </si>
  <si>
    <t>本件サービスの提供が可能な業者は本契約の他になく、他に競争を許さないため（会計法第２９条の３第４項）。</t>
  </si>
  <si>
    <t>22W513</t>
  </si>
  <si>
    <t>01-16</t>
  </si>
  <si>
    <t>「増設用ハードディスク等一式の設計・構築作業」業務委嘱</t>
    <rPh sb="23" eb="25">
      <t>ギョウム</t>
    </rPh>
    <rPh sb="25" eb="27">
      <t>イショク</t>
    </rPh>
    <phoneticPr fontId="4"/>
  </si>
  <si>
    <t>22Q752</t>
  </si>
  <si>
    <t>01-17</t>
  </si>
  <si>
    <t>「外務大臣主催レセプション（欧州大使会議）」開催業務委嘱</t>
    <rPh sb="26" eb="28">
      <t>イショク</t>
    </rPh>
    <phoneticPr fontId="4"/>
  </si>
  <si>
    <t>株式会社パレス ホテル</t>
    <phoneticPr fontId="4"/>
  </si>
  <si>
    <t>東京都千代田区丸の内１－１－１</t>
  </si>
  <si>
    <t>22G805</t>
  </si>
  <si>
    <t>01-18</t>
  </si>
  <si>
    <t>「日豪若手政治家交流プログラム」業務委嘱</t>
    <rPh sb="16" eb="18">
      <t>ギョウム</t>
    </rPh>
    <rPh sb="18" eb="20">
      <t>イショク</t>
    </rPh>
    <phoneticPr fontId="4"/>
  </si>
  <si>
    <t>平成23年1月17日</t>
  </si>
  <si>
    <t>財団法人日本国際交流センター</t>
    <phoneticPr fontId="4"/>
  </si>
  <si>
    <t>再度の入札を持ってしても落札者がなかったため、唯一の入札業者である同社に対し予定価格範囲内で契約を交渉しており、他に競争を許さないため（予算決算及び会計令第９９条の２）。</t>
  </si>
  <si>
    <t>法16</t>
    <rPh sb="0" eb="1">
      <t>ホウ</t>
    </rPh>
    <phoneticPr fontId="2"/>
  </si>
  <si>
    <t>22G903</t>
  </si>
  <si>
    <t>国地専</t>
  </si>
  <si>
    <t>01-19</t>
  </si>
  <si>
    <t>「女性の尊厳に係る意見交換事業」運営業務委嘱</t>
    <rPh sb="16" eb="18">
      <t>ウンエイ</t>
    </rPh>
    <rPh sb="18" eb="20">
      <t>ギョウム</t>
    </rPh>
    <rPh sb="20" eb="22">
      <t>イショク</t>
    </rPh>
    <phoneticPr fontId="4"/>
  </si>
  <si>
    <t>本事業については、道義的観点及び人権保護の観点から本事業対象者のプライバシーを守る必要がある。本事業対象者の個人情報を守りつつ本事業を実施できるのは、同対象者と普段より交流のある本契約の相手方の他になく、他に競争を許さないため（会計法第２９条の３第４項）。</t>
  </si>
  <si>
    <t>22G910</t>
  </si>
  <si>
    <t>01-20</t>
  </si>
  <si>
    <t>「警備関係機器の保守点検」業務委嘱</t>
    <rPh sb="13" eb="15">
      <t>ギョウム</t>
    </rPh>
    <rPh sb="15" eb="17">
      <t>イショク</t>
    </rPh>
    <phoneticPr fontId="4"/>
  </si>
  <si>
    <t>平成23年1月18日</t>
  </si>
  <si>
    <t>株式会社インヴィジョンジャパン</t>
    <phoneticPr fontId="4"/>
  </si>
  <si>
    <t>東京都中央区八丁堀３－５－７</t>
  </si>
  <si>
    <t>本契約の相手方は、製造業者により当該機器保守等に係る代理店に指定されており、他に競争を許さないため（会計法第２９条の３第４項）。</t>
  </si>
  <si>
    <t>22X174
22X201</t>
  </si>
  <si>
    <t>01-21</t>
  </si>
  <si>
    <t>「海外向け日本紹介映像資料『Japan-HowCOOL!（仮称）』の制作及び複製」業務委嘱</t>
    <rPh sb="1" eb="3">
      <t>カイガイ</t>
    </rPh>
    <rPh sb="3" eb="4">
      <t>ム</t>
    </rPh>
    <rPh sb="5" eb="7">
      <t>ニホン</t>
    </rPh>
    <rPh sb="7" eb="9">
      <t>ショウカイ</t>
    </rPh>
    <rPh sb="9" eb="11">
      <t>エイゾウ</t>
    </rPh>
    <rPh sb="11" eb="13">
      <t>シリョウ</t>
    </rPh>
    <rPh sb="29" eb="30">
      <t>カリ</t>
    </rPh>
    <rPh sb="34" eb="36">
      <t>セイサク</t>
    </rPh>
    <rPh sb="36" eb="37">
      <t>オヨ</t>
    </rPh>
    <rPh sb="38" eb="40">
      <t>フクセイ</t>
    </rPh>
    <rPh sb="41" eb="43">
      <t>ギョウム</t>
    </rPh>
    <rPh sb="43" eb="45">
      <t>イショク</t>
    </rPh>
    <phoneticPr fontId="4"/>
  </si>
  <si>
    <t>平成23年1月19日</t>
  </si>
  <si>
    <t>株式会社文化工房</t>
    <phoneticPr fontId="4"/>
  </si>
  <si>
    <t>22X177</t>
  </si>
  <si>
    <t>01-22</t>
  </si>
  <si>
    <t>「海外向け日本紹介用ポスターの制作及び複製」業務委嘱</t>
    <rPh sb="17" eb="18">
      <t>オヨ</t>
    </rPh>
    <rPh sb="22" eb="24">
      <t>ギョウム</t>
    </rPh>
    <rPh sb="24" eb="26">
      <t>イショク</t>
    </rPh>
    <phoneticPr fontId="4"/>
  </si>
  <si>
    <t>平成23年1月20日</t>
  </si>
  <si>
    <t>インタナシヨナル映画株式会社</t>
    <phoneticPr fontId="4"/>
  </si>
  <si>
    <t>22M220</t>
  </si>
  <si>
    <t>01-23</t>
  </si>
  <si>
    <t>「旅券発給管理システム改修（所有旅券審査機能追加等）」業務委嘱</t>
    <rPh sb="27" eb="29">
      <t>ギョウム</t>
    </rPh>
    <rPh sb="29" eb="31">
      <t>イショク</t>
    </rPh>
    <phoneticPr fontId="4"/>
  </si>
  <si>
    <t>22G911</t>
  </si>
  <si>
    <t>01-24</t>
  </si>
  <si>
    <t>「ＮＧＯによるテーマ別能力向上プログラム（ＮＧＯ研究会）『ネットワークＮＧＯのあり方』」業務委嘱</t>
    <rPh sb="44" eb="46">
      <t>ギョウム</t>
    </rPh>
    <rPh sb="46" eb="48">
      <t>イショク</t>
    </rPh>
    <phoneticPr fontId="4"/>
  </si>
  <si>
    <t>特定非営利活動法人国際協力ＮＧＯセンター</t>
    <phoneticPr fontId="4"/>
  </si>
  <si>
    <t>22G919</t>
  </si>
  <si>
    <t>01-25</t>
  </si>
  <si>
    <t>「警備関係機器の保守点検」業務委嘱業務委嘱</t>
    <rPh sb="13" eb="15">
      <t>ギョウム</t>
    </rPh>
    <rPh sb="15" eb="17">
      <t>イショク</t>
    </rPh>
    <rPh sb="17" eb="19">
      <t>ギョウム</t>
    </rPh>
    <rPh sb="19" eb="21">
      <t>イショク</t>
    </rPh>
    <phoneticPr fontId="4"/>
  </si>
  <si>
    <t>平成23年1月21日</t>
  </si>
  <si>
    <t>本契約の相手方は、製造業者により当該機器保守等にかかる代理店に指定されており、他に競争を許さないため（会計法２９条の３第４項）。</t>
  </si>
  <si>
    <t>22J123</t>
  </si>
  <si>
    <t>01-26</t>
  </si>
  <si>
    <t>「ブルガリア首相一行接遇（宿舎等契約）」業務委嘱</t>
    <rPh sb="16" eb="18">
      <t>ケイヤク</t>
    </rPh>
    <rPh sb="20" eb="22">
      <t>ギョウム</t>
    </rPh>
    <rPh sb="22" eb="24">
      <t>イショク</t>
    </rPh>
    <phoneticPr fontId="4"/>
  </si>
  <si>
    <t>01-27</t>
  </si>
  <si>
    <t>「インフラ海外展開のための海外向け映像広報資料の多言語版制作及び複製」業務委嘱</t>
    <rPh sb="30" eb="31">
      <t>オヨ</t>
    </rPh>
    <rPh sb="35" eb="37">
      <t>ギョウム</t>
    </rPh>
    <rPh sb="37" eb="39">
      <t>イショク</t>
    </rPh>
    <phoneticPr fontId="4"/>
  </si>
  <si>
    <t>平成23年1月24日</t>
  </si>
  <si>
    <t>株式会社アドエージェンシー</t>
    <phoneticPr fontId="4"/>
  </si>
  <si>
    <t>東京都港区六本木７－１５－７</t>
  </si>
  <si>
    <t>22Z372</t>
  </si>
  <si>
    <t>01-28</t>
  </si>
  <si>
    <t>「『物品・現地職員管理システム』サーバ移行設計及び改修」業務委嘱</t>
    <rPh sb="28" eb="30">
      <t>ギョウム</t>
    </rPh>
    <rPh sb="30" eb="32">
      <t>イショク</t>
    </rPh>
    <phoneticPr fontId="4"/>
  </si>
  <si>
    <t>平成23年1月25日</t>
  </si>
  <si>
    <t>22M204</t>
  </si>
  <si>
    <t>01-29</t>
  </si>
  <si>
    <t>「査証事務支援システムの機能改修」業務委嘱</t>
    <rPh sb="17" eb="19">
      <t>ギョウム</t>
    </rPh>
    <rPh sb="19" eb="21">
      <t>イショク</t>
    </rPh>
    <phoneticPr fontId="4"/>
  </si>
  <si>
    <t>平成23年1月26日</t>
  </si>
  <si>
    <t>株式会社東芝</t>
    <phoneticPr fontId="4"/>
  </si>
  <si>
    <t>22X183</t>
  </si>
  <si>
    <t>01-30</t>
  </si>
  <si>
    <t>「ワン・ワールドフェスティバル（大阪）における国際協力について語ろう等７事業」開催業務委嘱</t>
    <rPh sb="43" eb="45">
      <t>イショク</t>
    </rPh>
    <phoneticPr fontId="4"/>
  </si>
  <si>
    <t>平成23年1月27日</t>
  </si>
  <si>
    <t>特定非営利活動法人関西国際交流団体協議会</t>
    <phoneticPr fontId="4"/>
  </si>
  <si>
    <t>本フェスティバルは契約相手方が事務局としてロジ全般を行っているフェスティバルの一部分を当方事業として行うものであり、同団体以外に本件ロジ業務委嘱を行える団体は存在せず、他に競争を許さないため（会計法第２９条の３第４項）。</t>
  </si>
  <si>
    <t>民529</t>
    <rPh sb="0" eb="1">
      <t>ミン</t>
    </rPh>
    <phoneticPr fontId="2"/>
  </si>
  <si>
    <t>22G922</t>
  </si>
  <si>
    <t>01-31</t>
  </si>
  <si>
    <t>「文化無償資金協力フォローアップ解析業務『中南米３カ国のマイクロフィルム機材』」業務委嘱</t>
    <rPh sb="40" eb="42">
      <t>ギョウム</t>
    </rPh>
    <rPh sb="42" eb="44">
      <t>イショク</t>
    </rPh>
    <phoneticPr fontId="4"/>
  </si>
  <si>
    <t>株式会社栄光舎</t>
    <phoneticPr fontId="4"/>
  </si>
  <si>
    <t>対象マイクロフィルム機材が修理によって機能回復する可能性、修理のために必要な作業等を特定することが可能な業者は当該機器の製造者である本契約の相手方の他になく、他に競争を許さないため（会計法第２９条の３第４項）。</t>
  </si>
  <si>
    <t>22W550</t>
  </si>
  <si>
    <t>01-32</t>
  </si>
  <si>
    <t>「クローズドＬＡＮホームページ検索機能改修」業務委嘱</t>
    <rPh sb="22" eb="24">
      <t>ギョウム</t>
    </rPh>
    <rPh sb="24" eb="26">
      <t>イショク</t>
    </rPh>
    <phoneticPr fontId="4"/>
  </si>
  <si>
    <t>平成23年1月28日</t>
  </si>
  <si>
    <t>22M230</t>
  </si>
  <si>
    <t>01-33</t>
  </si>
  <si>
    <t>「査証WAN 在外簡易端局化検証作業及び設定資材作成」業務委嘱</t>
    <rPh sb="1" eb="3">
      <t>サショウ</t>
    </rPh>
    <rPh sb="27" eb="29">
      <t>ギョウム</t>
    </rPh>
    <rPh sb="29" eb="31">
      <t>イショク</t>
    </rPh>
    <phoneticPr fontId="4"/>
  </si>
  <si>
    <t>平成23年1月31日</t>
  </si>
  <si>
    <t>沖電気工業株式会社</t>
    <phoneticPr fontId="4"/>
  </si>
  <si>
    <t>⑥アAﾆ(ﾆ)</t>
    <phoneticPr fontId="4"/>
  </si>
  <si>
    <t>22S871</t>
  </si>
  <si>
    <t>法国</t>
  </si>
  <si>
    <t>01-34</t>
  </si>
  <si>
    <t>「英文国際法年報」の購入</t>
  </si>
  <si>
    <t>株式会社雄松堂書店</t>
    <phoneticPr fontId="4"/>
  </si>
  <si>
    <t>東京都新宿区坂町２７</t>
  </si>
  <si>
    <t>22Z376</t>
  </si>
  <si>
    <t>01-35</t>
  </si>
  <si>
    <t>「在スイス大使館本館－分館間のＶＰＮ接続に係るネットワークの設計及び構築」業務委嘱</t>
    <rPh sb="5" eb="8">
      <t>タイシカン</t>
    </rPh>
    <rPh sb="37" eb="39">
      <t>ギョウム</t>
    </rPh>
    <rPh sb="39" eb="41">
      <t>イショク</t>
    </rPh>
    <phoneticPr fontId="4"/>
  </si>
  <si>
    <t>松川</t>
  </si>
  <si>
    <t>01-36</t>
  </si>
  <si>
    <t>「在大韓民国日本国大使館事務所新営計画に係る設計」業務委託</t>
  </si>
  <si>
    <t>株式会社久米設計</t>
    <phoneticPr fontId="4"/>
  </si>
  <si>
    <t>東京都江東区潮見２－１－２２</t>
  </si>
  <si>
    <t>プロポーザル（技術提案）の結果、同社が最も高い評価を得て確実な業務の履行が可能であると認められ、他に競争を許さないため（会計法第２９条の３第４項）。</t>
  </si>
  <si>
    <t>会計課管理室／営繕班</t>
  </si>
  <si>
    <t>増山</t>
  </si>
  <si>
    <t>01-37</t>
  </si>
  <si>
    <t>「在ペルー日本国大使館事務所新営計画に係る設計」業務委托</t>
  </si>
  <si>
    <t>株式会社大建設計</t>
    <phoneticPr fontId="4"/>
  </si>
  <si>
    <t>東京都品川区東五反田５－１０－８</t>
  </si>
  <si>
    <t>⑥アD稼働</t>
    <rPh sb="3" eb="5">
      <t>カドウ</t>
    </rPh>
    <phoneticPr fontId="2"/>
  </si>
  <si>
    <t>22W559</t>
  </si>
  <si>
    <t>公開</t>
  </si>
  <si>
    <t>「情報公開事務支援システム・ソフトウェアの改善」業務委嘱</t>
    <rPh sb="24" eb="26">
      <t>ギョウム</t>
    </rPh>
    <rPh sb="26" eb="28">
      <t>イショク</t>
    </rPh>
    <phoneticPr fontId="4"/>
  </si>
  <si>
    <t>株式会社ビービーシステム</t>
  </si>
  <si>
    <t>大阪府大阪市中央区城見２－１－６１</t>
    <rPh sb="0" eb="3">
      <t>オオサカフ</t>
    </rPh>
    <phoneticPr fontId="4"/>
  </si>
  <si>
    <t>22Z379</t>
  </si>
  <si>
    <t>22W560</t>
  </si>
  <si>
    <t>「ネットワーク通信対応システムの更新作業」業務委嘱</t>
    <rPh sb="21" eb="23">
      <t>ギョウム</t>
    </rPh>
    <rPh sb="23" eb="25">
      <t>イショク</t>
    </rPh>
    <phoneticPr fontId="4"/>
  </si>
  <si>
    <t>22F391</t>
  </si>
  <si>
    <t>①ア（企画）</t>
    <phoneticPr fontId="2"/>
  </si>
  <si>
    <t>「『核軍縮・不拡散（仮）』報道関係者招へい」業務委嘱</t>
    <rPh sb="13" eb="15">
      <t>ホウドウ</t>
    </rPh>
    <rPh sb="15" eb="18">
      <t>カンケイシャ</t>
    </rPh>
    <rPh sb="18" eb="19">
      <t>ショウ</t>
    </rPh>
    <rPh sb="22" eb="24">
      <t>ギョウム</t>
    </rPh>
    <rPh sb="24" eb="26">
      <t>イショク</t>
    </rPh>
    <phoneticPr fontId="4"/>
  </si>
  <si>
    <t>22F353</t>
  </si>
  <si>
    <t>総テ協</t>
  </si>
  <si>
    <t>濱口</t>
  </si>
  <si>
    <t>「国際テロ対策協力室主催国際会議」開催業務委嘱</t>
    <rPh sb="17" eb="19">
      <t>カイサイ</t>
    </rPh>
    <rPh sb="19" eb="21">
      <t>ギョウム</t>
    </rPh>
    <rPh sb="21" eb="23">
      <t>イショク</t>
    </rPh>
    <phoneticPr fontId="4"/>
  </si>
  <si>
    <t>東京都千代田区３番町２</t>
    <rPh sb="8" eb="10">
      <t>バンマチ</t>
    </rPh>
    <phoneticPr fontId="4"/>
  </si>
  <si>
    <t>聞き取り調査の結果、本件業務を請負可能な業者が同社のみであり、また審査の結果、業務の適正な履行が可能と認められ、他に競争を許さないため（会計法第２９条の３第４項）。</t>
    <rPh sb="0" eb="1">
      <t>キ</t>
    </rPh>
    <rPh sb="2" eb="3">
      <t>ト</t>
    </rPh>
    <rPh sb="4" eb="6">
      <t>チョウサ</t>
    </rPh>
    <rPh sb="7" eb="9">
      <t>ケッカ</t>
    </rPh>
    <rPh sb="10" eb="12">
      <t>ホンケン</t>
    </rPh>
    <rPh sb="12" eb="14">
      <t>ギョウム</t>
    </rPh>
    <rPh sb="15" eb="17">
      <t>ウケオイ</t>
    </rPh>
    <rPh sb="17" eb="19">
      <t>カノウ</t>
    </rPh>
    <rPh sb="20" eb="22">
      <t>ギョウシャ</t>
    </rPh>
    <rPh sb="23" eb="25">
      <t>ドウシャ</t>
    </rPh>
    <rPh sb="33" eb="35">
      <t>シンサ</t>
    </rPh>
    <rPh sb="36" eb="38">
      <t>ケッカ</t>
    </rPh>
    <rPh sb="39" eb="41">
      <t>ギョウム</t>
    </rPh>
    <rPh sb="42" eb="44">
      <t>テキセイ</t>
    </rPh>
    <rPh sb="45" eb="47">
      <t>リコウ</t>
    </rPh>
    <rPh sb="48" eb="50">
      <t>カノウ</t>
    </rPh>
    <rPh sb="51" eb="52">
      <t>ミト</t>
    </rPh>
    <rPh sb="56" eb="57">
      <t>タ</t>
    </rPh>
    <rPh sb="58" eb="60">
      <t>キョウソウ</t>
    </rPh>
    <rPh sb="61" eb="62">
      <t>ユル</t>
    </rPh>
    <phoneticPr fontId="4"/>
  </si>
  <si>
    <t>22W541</t>
  </si>
  <si>
    <t>「外務省ホームページ内『条約データ検索ページ』のコンテンツの掲載・更新等」業務委嘱</t>
    <rPh sb="37" eb="39">
      <t>ギョウム</t>
    </rPh>
    <rPh sb="39" eb="41">
      <t>イショク</t>
    </rPh>
    <phoneticPr fontId="4"/>
  </si>
  <si>
    <t>22W587</t>
  </si>
  <si>
    <t>「在外公館の統合に係る方式設計及び手順書作成等」業務委嘱</t>
    <rPh sb="24" eb="26">
      <t>ギョウム</t>
    </rPh>
    <rPh sb="26" eb="28">
      <t>イショク</t>
    </rPh>
    <phoneticPr fontId="4"/>
  </si>
  <si>
    <t>22W595</t>
  </si>
  <si>
    <t>「人事院勧告による人事昇格・昇給システム及び共済年金システムの改修」業務委嘱</t>
    <rPh sb="34" eb="36">
      <t>ギョウム</t>
    </rPh>
    <rPh sb="36" eb="38">
      <t>イショク</t>
    </rPh>
    <phoneticPr fontId="4"/>
  </si>
  <si>
    <t>22W594</t>
  </si>
  <si>
    <t>「文書編集システム新機能の追加構築」業務委嘱</t>
    <rPh sb="18" eb="20">
      <t>ギョウム</t>
    </rPh>
    <rPh sb="20" eb="22">
      <t>イショク</t>
    </rPh>
    <phoneticPr fontId="4"/>
  </si>
  <si>
    <t>22W607</t>
  </si>
  <si>
    <t>「外部媒体使用制限機能の導入に係る設計及び構築作業」業務委嘱</t>
    <rPh sb="26" eb="28">
      <t>ギョウム</t>
    </rPh>
    <rPh sb="28" eb="30">
      <t>イショク</t>
    </rPh>
    <phoneticPr fontId="4"/>
  </si>
  <si>
    <t>22G988</t>
  </si>
  <si>
    <t>情報２</t>
  </si>
  <si>
    <t>「東アジアの戦略環境セミナー」開催業務委嘱</t>
    <rPh sb="15" eb="17">
      <t>カイサイ</t>
    </rPh>
    <rPh sb="17" eb="19">
      <t>ギョウム</t>
    </rPh>
    <rPh sb="19" eb="21">
      <t>イショク</t>
    </rPh>
    <phoneticPr fontId="4"/>
  </si>
  <si>
    <t>株式会社三菱総合研究所</t>
  </si>
  <si>
    <t>東京都千代田区永田町２－１０－３</t>
  </si>
  <si>
    <t>22G821</t>
  </si>
  <si>
    <t>「日豪草の根交流計画（第２次）実施」業務委嘱</t>
    <rPh sb="18" eb="20">
      <t>ギョウム</t>
    </rPh>
    <rPh sb="20" eb="22">
      <t>イショク</t>
    </rPh>
    <phoneticPr fontId="4"/>
  </si>
  <si>
    <t>22X206</t>
  </si>
  <si>
    <t>沼田</t>
  </si>
  <si>
    <t>「日本ブランド向上事業用啓発品（伝統工芸品をあしらった小物類）の制作」業務委嘱</t>
    <rPh sb="35" eb="37">
      <t>ギョウム</t>
    </rPh>
    <rPh sb="37" eb="39">
      <t>イショク</t>
    </rPh>
    <phoneticPr fontId="4"/>
  </si>
  <si>
    <t>株式会社フォーサイト</t>
    <rPh sb="0" eb="4">
      <t>カブシキガイシャ</t>
    </rPh>
    <phoneticPr fontId="4"/>
  </si>
  <si>
    <t>東京都中央区八丁堀４－１０－８</t>
    <rPh sb="0" eb="3">
      <t>トウキョウト</t>
    </rPh>
    <phoneticPr fontId="4"/>
  </si>
  <si>
    <t>22Z404</t>
  </si>
  <si>
    <t>「ネットワーク関連機器の構成変更作業」業務委嘱</t>
    <rPh sb="19" eb="21">
      <t>ギョウム</t>
    </rPh>
    <rPh sb="21" eb="23">
      <t>イショク</t>
    </rPh>
    <phoneticPr fontId="4"/>
  </si>
  <si>
    <t>「日本ブランド向上事業用啓発品（多機能文房具）の制作」業務委嘱</t>
    <rPh sb="27" eb="29">
      <t>ギョウム</t>
    </rPh>
    <rPh sb="29" eb="31">
      <t>イショク</t>
    </rPh>
    <phoneticPr fontId="4"/>
  </si>
  <si>
    <t>株式会社イワナシ</t>
    <rPh sb="0" eb="4">
      <t>カブシキガイシャ</t>
    </rPh>
    <phoneticPr fontId="4"/>
  </si>
  <si>
    <t>東京都新宿区北山伏町２－２</t>
    <rPh sb="0" eb="3">
      <t>トウキョウト</t>
    </rPh>
    <phoneticPr fontId="4"/>
  </si>
  <si>
    <t>「日本ブランド向上事業用啓発品（エコ関連製品）の制作」業務委嘱</t>
    <rPh sb="27" eb="29">
      <t>ギョウム</t>
    </rPh>
    <rPh sb="29" eb="31">
      <t>イショク</t>
    </rPh>
    <phoneticPr fontId="4"/>
  </si>
  <si>
    <t>インプレッション株式会社</t>
    <rPh sb="8" eb="12">
      <t>カブシキガイシャ</t>
    </rPh>
    <phoneticPr fontId="4"/>
  </si>
  <si>
    <t>東京都中央区銀座２－１６－７</t>
    <rPh sb="0" eb="3">
      <t>トウキョウト</t>
    </rPh>
    <phoneticPr fontId="4"/>
  </si>
  <si>
    <t>22J135</t>
  </si>
  <si>
    <t>「パキスタン大統領一行接遇（宿舎等契約）」業務委嘱</t>
    <rPh sb="11" eb="13">
      <t>セツグウ</t>
    </rPh>
    <rPh sb="14" eb="16">
      <t>シュクシャ</t>
    </rPh>
    <rPh sb="16" eb="17">
      <t>トウ</t>
    </rPh>
    <rPh sb="17" eb="19">
      <t>ケイヤク</t>
    </rPh>
    <rPh sb="21" eb="23">
      <t>ギョウム</t>
    </rPh>
    <rPh sb="23" eb="25">
      <t>イショク</t>
    </rPh>
    <phoneticPr fontId="4"/>
  </si>
  <si>
    <t>賓客政府側の希望を踏まえ、警備、立地条件、受入体制などを総合的に判断して最適であり、他に競争を許さないため（会計法第２９条の３第４項）。</t>
    <rPh sb="2" eb="4">
      <t>セイフ</t>
    </rPh>
    <phoneticPr fontId="4"/>
  </si>
  <si>
    <t>22G831</t>
  </si>
  <si>
    <t>「新しい日露関係・専門家対話」開催業務委嘱</t>
    <rPh sb="19" eb="21">
      <t>イショク</t>
    </rPh>
    <phoneticPr fontId="4"/>
  </si>
  <si>
    <t>22J134</t>
  </si>
  <si>
    <t>「アンゴラ共和国外務大臣一行接遇（宿舎等契約）」業務委嘱</t>
    <rPh sb="19" eb="20">
      <t>トウ</t>
    </rPh>
    <rPh sb="20" eb="22">
      <t>ケイヤク</t>
    </rPh>
    <rPh sb="24" eb="26">
      <t>ギョウム</t>
    </rPh>
    <rPh sb="26" eb="28">
      <t>イショク</t>
    </rPh>
    <phoneticPr fontId="4"/>
  </si>
  <si>
    <t>株式会社ニューオータニ</t>
    <rPh sb="0" eb="4">
      <t>カブシキガイシャ</t>
    </rPh>
    <phoneticPr fontId="4"/>
  </si>
  <si>
    <t>22W618</t>
  </si>
  <si>
    <t>「ＢＢＳ及びＦＴＰサーバ用共有ディスクリプレイス作業」業務委嘱</t>
    <rPh sb="27" eb="29">
      <t>ギョウム</t>
    </rPh>
    <rPh sb="29" eb="31">
      <t>イショク</t>
    </rPh>
    <phoneticPr fontId="4"/>
  </si>
  <si>
    <t>支出負担行為担当官代理
外務省大臣官房長　木寺昌人
東京都千代田区霞が関２－２－１</t>
    <rPh sb="0" eb="2">
      <t>シシュツ</t>
    </rPh>
    <rPh sb="2" eb="4">
      <t>フタン</t>
    </rPh>
    <rPh sb="4" eb="6">
      <t>コウイ</t>
    </rPh>
    <rPh sb="6" eb="9">
      <t>タントウカン</t>
    </rPh>
    <rPh sb="9" eb="11">
      <t>ダイリ</t>
    </rPh>
    <rPh sb="12" eb="15">
      <t>ガイムショウ</t>
    </rPh>
    <rPh sb="15" eb="17">
      <t>ダイジン</t>
    </rPh>
    <rPh sb="17" eb="19">
      <t>カンボウ</t>
    </rPh>
    <rPh sb="21" eb="23">
      <t>キデラ</t>
    </rPh>
    <rPh sb="23" eb="25">
      <t>マサト</t>
    </rPh>
    <rPh sb="26" eb="29">
      <t>トウキョウト</t>
    </rPh>
    <rPh sb="29" eb="33">
      <t>チヨダク</t>
    </rPh>
    <rPh sb="33" eb="34">
      <t>カスミ</t>
    </rPh>
    <rPh sb="35" eb="36">
      <t>セキ</t>
    </rPh>
    <phoneticPr fontId="4"/>
  </si>
  <si>
    <t>「在外公館用ＦＭ放送機等無線機の保守・運用指導」業務委嘱</t>
    <rPh sb="24" eb="26">
      <t>ギョウム</t>
    </rPh>
    <rPh sb="26" eb="28">
      <t>イショク</t>
    </rPh>
    <phoneticPr fontId="4"/>
  </si>
  <si>
    <t>本件保守用部品の提供が可能な業者は当該機器の製造作業である本契約の相手方の他になく、他に競争を許さないため（会計法第２９条の３第４項）。</t>
  </si>
  <si>
    <t>22W619</t>
  </si>
  <si>
    <t>「外務省学習管理システムの機能改修」業務委嘱</t>
    <rPh sb="18" eb="20">
      <t>ギョウム</t>
    </rPh>
    <rPh sb="20" eb="22">
      <t>イショク</t>
    </rPh>
    <phoneticPr fontId="4"/>
  </si>
  <si>
    <t>22W611</t>
  </si>
  <si>
    <t>「ＶＢＣｏｒｐバージョンアップ対応作業」業務委嘱</t>
    <rPh sb="20" eb="22">
      <t>ギョウム</t>
    </rPh>
    <rPh sb="22" eb="24">
      <t>イショク</t>
    </rPh>
    <phoneticPr fontId="4"/>
  </si>
  <si>
    <t>⑥アDその他</t>
    <rPh sb="5" eb="6">
      <t>タ</t>
    </rPh>
    <phoneticPr fontId="2"/>
  </si>
  <si>
    <t>22X194</t>
  </si>
  <si>
    <t>「ＯＤＡテレビ番組『地球ＶＯＣＥ』番組宣伝」業務委嘱</t>
  </si>
  <si>
    <t>株式会社電通</t>
    <rPh sb="0" eb="4">
      <t>カブシキガイシャ</t>
    </rPh>
    <rPh sb="4" eb="6">
      <t>デンツウ</t>
    </rPh>
    <phoneticPr fontId="4"/>
  </si>
  <si>
    <t>東京都港区東新橋１－８－１</t>
    <rPh sb="0" eb="3">
      <t>トウキョウト</t>
    </rPh>
    <rPh sb="3" eb="5">
      <t>ミナトク</t>
    </rPh>
    <rPh sb="5" eb="6">
      <t>ヒガシ</t>
    </rPh>
    <rPh sb="6" eb="8">
      <t>シンバシ</t>
    </rPh>
    <phoneticPr fontId="4"/>
  </si>
  <si>
    <t>本契約の相手方は、当該テレビ番組の著作権を有するテレビ局により、番組宣伝映像及び原稿の制作を許可されている唯一の業者であり、他に競争を許さないため（会計法第２９条の３第４項）。</t>
    <rPh sb="0" eb="3">
      <t>ホンケイヤク</t>
    </rPh>
    <rPh sb="4" eb="7">
      <t>アイテカタ</t>
    </rPh>
    <rPh sb="9" eb="11">
      <t>トウガイ</t>
    </rPh>
    <rPh sb="14" eb="16">
      <t>バングミ</t>
    </rPh>
    <rPh sb="17" eb="20">
      <t>チョサクケン</t>
    </rPh>
    <rPh sb="21" eb="22">
      <t>ユウ</t>
    </rPh>
    <rPh sb="27" eb="28">
      <t>キョク</t>
    </rPh>
    <rPh sb="32" eb="34">
      <t>バングミ</t>
    </rPh>
    <rPh sb="34" eb="36">
      <t>センデン</t>
    </rPh>
    <rPh sb="36" eb="38">
      <t>エイゾウ</t>
    </rPh>
    <rPh sb="38" eb="39">
      <t>オヨ</t>
    </rPh>
    <rPh sb="40" eb="42">
      <t>ゲンコウ</t>
    </rPh>
    <rPh sb="43" eb="45">
      <t>セイサク</t>
    </rPh>
    <rPh sb="46" eb="48">
      <t>キョカ</t>
    </rPh>
    <rPh sb="53" eb="55">
      <t>ユイイツ</t>
    </rPh>
    <rPh sb="56" eb="58">
      <t>ギョウシャ</t>
    </rPh>
    <rPh sb="62" eb="63">
      <t>ホカ</t>
    </rPh>
    <rPh sb="64" eb="66">
      <t>キョウソウ</t>
    </rPh>
    <rPh sb="67" eb="68">
      <t>ユル</t>
    </rPh>
    <rPh sb="74" eb="77">
      <t>カイケイホウ</t>
    </rPh>
    <rPh sb="77" eb="78">
      <t>ダイ</t>
    </rPh>
    <rPh sb="80" eb="81">
      <t>ジョウ</t>
    </rPh>
    <rPh sb="83" eb="84">
      <t>ダイ</t>
    </rPh>
    <rPh sb="85" eb="86">
      <t>コウ</t>
    </rPh>
    <phoneticPr fontId="4"/>
  </si>
  <si>
    <t>22H018</t>
  </si>
  <si>
    <t>「中東地域の国際テロ情勢セミナー」開催業務委嘱</t>
    <rPh sb="21" eb="23">
      <t>イショク</t>
    </rPh>
    <phoneticPr fontId="4"/>
  </si>
  <si>
    <t>22R114</t>
  </si>
  <si>
    <t>「ＩＣカード運用管理システム用サーバ等」の購入</t>
  </si>
  <si>
    <t xml:space="preserve">株式会社エヌ・ティ・ティ・データ </t>
  </si>
  <si>
    <t>22Z416</t>
  </si>
  <si>
    <t>「ネットワーク通信対応システム関係機器の設置作業」業務委嘱</t>
    <rPh sb="25" eb="27">
      <t>ギョウム</t>
    </rPh>
    <rPh sb="27" eb="29">
      <t>イショク</t>
    </rPh>
    <phoneticPr fontId="4"/>
  </si>
  <si>
    <t>22W648</t>
  </si>
  <si>
    <t>領安</t>
    <rPh sb="0" eb="2">
      <t>リョウアン</t>
    </rPh>
    <phoneticPr fontId="45"/>
  </si>
  <si>
    <t>松永</t>
    <rPh sb="0" eb="2">
      <t>マツナガ</t>
    </rPh>
    <phoneticPr fontId="45"/>
  </si>
  <si>
    <t>「海外安全ホームページ」の運用・管理（３月分）及びコンテンツデータの移管、機器の返却・廃棄作業</t>
  </si>
  <si>
    <t>３月</t>
    <rPh sb="1" eb="2">
      <t>ガツ</t>
    </rPh>
    <phoneticPr fontId="2"/>
  </si>
  <si>
    <t>22R140</t>
  </si>
  <si>
    <t>会</t>
    <rPh sb="0" eb="1">
      <t>カイ</t>
    </rPh>
    <phoneticPr fontId="4"/>
  </si>
  <si>
    <t>会計課管理室／営繕班</t>
    <rPh sb="0" eb="3">
      <t>カイケイカ</t>
    </rPh>
    <rPh sb="3" eb="6">
      <t>カンリシツ</t>
    </rPh>
    <rPh sb="7" eb="9">
      <t>エイゼン</t>
    </rPh>
    <rPh sb="9" eb="10">
      <t>ハン</t>
    </rPh>
    <phoneticPr fontId="4"/>
  </si>
  <si>
    <t>小林</t>
    <rPh sb="0" eb="2">
      <t>コバヤシ</t>
    </rPh>
    <phoneticPr fontId="4"/>
  </si>
  <si>
    <t>3-1</t>
    <phoneticPr fontId="4"/>
  </si>
  <si>
    <t>「外務省所管建物自動火災報知設備等保守点検に基づく不具合箇所改善」業務委嘱</t>
    <rPh sb="1" eb="4">
      <t>ガイムショウ</t>
    </rPh>
    <rPh sb="4" eb="6">
      <t>ショカン</t>
    </rPh>
    <rPh sb="6" eb="8">
      <t>タテモノ</t>
    </rPh>
    <rPh sb="8" eb="10">
      <t>ジドウ</t>
    </rPh>
    <rPh sb="10" eb="12">
      <t>カサイ</t>
    </rPh>
    <rPh sb="12" eb="14">
      <t>ホウチ</t>
    </rPh>
    <rPh sb="14" eb="16">
      <t>セツビ</t>
    </rPh>
    <rPh sb="16" eb="17">
      <t>トウ</t>
    </rPh>
    <rPh sb="17" eb="19">
      <t>ホシュ</t>
    </rPh>
    <rPh sb="19" eb="21">
      <t>テンケン</t>
    </rPh>
    <rPh sb="22" eb="23">
      <t>モト</t>
    </rPh>
    <rPh sb="25" eb="28">
      <t>フグアイ</t>
    </rPh>
    <rPh sb="28" eb="30">
      <t>カショ</t>
    </rPh>
    <rPh sb="30" eb="32">
      <t>カイゼン</t>
    </rPh>
    <rPh sb="33" eb="35">
      <t>ギョウム</t>
    </rPh>
    <rPh sb="35" eb="37">
      <t>イショク</t>
    </rPh>
    <phoneticPr fontId="4"/>
  </si>
  <si>
    <t>株式会社清水商会</t>
    <rPh sb="0" eb="4">
      <t>カブシキガイシャ</t>
    </rPh>
    <rPh sb="4" eb="6">
      <t>シミズ</t>
    </rPh>
    <rPh sb="6" eb="8">
      <t>ショウカイ</t>
    </rPh>
    <phoneticPr fontId="4"/>
  </si>
  <si>
    <t>千葉県千葉市中央区松ヶ丘町６３５</t>
    <rPh sb="0" eb="3">
      <t>チバケン</t>
    </rPh>
    <rPh sb="3" eb="6">
      <t>チバシ</t>
    </rPh>
    <rPh sb="6" eb="9">
      <t>チュウオウク</t>
    </rPh>
    <rPh sb="9" eb="12">
      <t>マツガオカ</t>
    </rPh>
    <rPh sb="12" eb="13">
      <t>マチ</t>
    </rPh>
    <phoneticPr fontId="4"/>
  </si>
  <si>
    <t>本件は、消防点検票の内容を熟知している必要があり、履行可能業者は保守点検業者である本契約の相手方の他になく、他に競争を許さないため（会計法第２９条の３第４項）。</t>
    <rPh sb="0" eb="2">
      <t>ホンケン</t>
    </rPh>
    <rPh sb="4" eb="6">
      <t>ショウボウ</t>
    </rPh>
    <rPh sb="6" eb="8">
      <t>テンケン</t>
    </rPh>
    <rPh sb="8" eb="9">
      <t>ヒョウ</t>
    </rPh>
    <rPh sb="10" eb="12">
      <t>ナイヨウ</t>
    </rPh>
    <rPh sb="13" eb="15">
      <t>ジュクチ</t>
    </rPh>
    <rPh sb="19" eb="21">
      <t>ヒツヨウ</t>
    </rPh>
    <rPh sb="25" eb="27">
      <t>リコウ</t>
    </rPh>
    <rPh sb="27" eb="29">
      <t>カノウ</t>
    </rPh>
    <rPh sb="29" eb="31">
      <t>ギョウシャ</t>
    </rPh>
    <rPh sb="32" eb="34">
      <t>ホシュ</t>
    </rPh>
    <rPh sb="34" eb="36">
      <t>テンケン</t>
    </rPh>
    <rPh sb="36" eb="38">
      <t>ギョウシャ</t>
    </rPh>
    <rPh sb="41" eb="44">
      <t>ホンケイヤク</t>
    </rPh>
    <rPh sb="45" eb="48">
      <t>アイテガタ</t>
    </rPh>
    <rPh sb="49" eb="50">
      <t>ホカ</t>
    </rPh>
    <rPh sb="54" eb="55">
      <t>ホカ</t>
    </rPh>
    <rPh sb="56" eb="58">
      <t>キョウソウ</t>
    </rPh>
    <rPh sb="59" eb="60">
      <t>ユル</t>
    </rPh>
    <phoneticPr fontId="4"/>
  </si>
  <si>
    <t>22G877</t>
  </si>
  <si>
    <t>3-2</t>
  </si>
  <si>
    <t>「国際的な子の奪取に関するハーグ条約関係裁判例についての調査」業務委嘱</t>
    <rPh sb="31" eb="33">
      <t>ギョウム</t>
    </rPh>
    <rPh sb="33" eb="35">
      <t>イショク</t>
    </rPh>
    <phoneticPr fontId="4"/>
  </si>
  <si>
    <t>日本弁護士連合会</t>
    <phoneticPr fontId="4"/>
  </si>
  <si>
    <t>東京都千代田区霞が関１－１－３</t>
  </si>
  <si>
    <t>22W660</t>
  </si>
  <si>
    <t>3-3</t>
  </si>
  <si>
    <t>「外務省学習管理システムの教材作成」業務委嘱</t>
    <rPh sb="18" eb="20">
      <t>ギョウム</t>
    </rPh>
    <rPh sb="20" eb="22">
      <t>イショク</t>
    </rPh>
    <phoneticPr fontId="4"/>
  </si>
  <si>
    <t>ＮＥＣラーニング株式会社</t>
  </si>
  <si>
    <t>22H032</t>
  </si>
  <si>
    <t>3-4</t>
  </si>
  <si>
    <t>「文化無償資金協力フォローアップ事業『ミャンマー・マンダレー外国語大学日本語学習機材整備計画』」業務委嘱</t>
    <rPh sb="48" eb="50">
      <t>ギョウム</t>
    </rPh>
    <rPh sb="50" eb="52">
      <t>イショク</t>
    </rPh>
    <phoneticPr fontId="4"/>
  </si>
  <si>
    <t>システックインターナショナル株式会社</t>
    <phoneticPr fontId="4"/>
  </si>
  <si>
    <t>大阪府大阪市北区西天満３－２－９</t>
  </si>
  <si>
    <t>本件サービスの提供が可能な業者は、本案件の相手方の他になく、他に競争を許さないため（会計法第29条の3第4項）。</t>
  </si>
  <si>
    <t>3-5</t>
  </si>
  <si>
    <t>「在エジプト日本国大使館新事務所整備等事業契約変更に係る事業者への変更契約締結協力」業務委嘱</t>
    <rPh sb="42" eb="44">
      <t>ギョウム</t>
    </rPh>
    <rPh sb="44" eb="46">
      <t>イショク</t>
    </rPh>
    <phoneticPr fontId="4"/>
  </si>
  <si>
    <t>在エジプト日本大使館ファシリティマネジメント株式会社</t>
    <rPh sb="5" eb="7">
      <t>ニホン</t>
    </rPh>
    <rPh sb="22" eb="24">
      <t>カブシキ</t>
    </rPh>
    <rPh sb="24" eb="26">
      <t>カイシャ</t>
    </rPh>
    <phoneticPr fontId="4"/>
  </si>
  <si>
    <t>東京都新宿区西新宿１－２５－１</t>
  </si>
  <si>
    <t>在エジプト日本国大使館新事務所整備等事業契約を変更するにあたり、契約相手である事業者側の協力が不可欠であり、他に競争を許さないため（会計法第２９条の３第４項）。</t>
  </si>
  <si>
    <t>22H019
22F450
22S993</t>
  </si>
  <si>
    <t>3-6</t>
  </si>
  <si>
    <t>「日中韓外相会議」開催業務委嘱</t>
    <rPh sb="9" eb="11">
      <t>カイサイ</t>
    </rPh>
    <rPh sb="11" eb="13">
      <t>ギョウム</t>
    </rPh>
    <rPh sb="13" eb="15">
      <t>イショク</t>
    </rPh>
    <phoneticPr fontId="4"/>
  </si>
  <si>
    <t>株式会社インターグループ</t>
    <rPh sb="0" eb="4">
      <t>カブシキガイシャ</t>
    </rPh>
    <phoneticPr fontId="4"/>
  </si>
  <si>
    <t>再度の入札をもってしても落札者がなかったため，最も廉価であった同社に対し予定価格範囲内での交渉をしており，他に競争を許さないため（予決令第９９条の２）。</t>
    <rPh sb="65" eb="68">
      <t>ヨケツレイ</t>
    </rPh>
    <rPh sb="68" eb="69">
      <t>ダイ</t>
    </rPh>
    <rPh sb="71" eb="72">
      <t>ジョウ</t>
    </rPh>
    <phoneticPr fontId="4"/>
  </si>
  <si>
    <t>⑥ア3</t>
  </si>
  <si>
    <t>3-7</t>
  </si>
  <si>
    <t>「在外公館医務官室用執務参考図書等」の購入</t>
  </si>
  <si>
    <t>株式会社文研堂書店</t>
    <phoneticPr fontId="4"/>
  </si>
  <si>
    <t>東京都千代田区永田町１－６</t>
  </si>
  <si>
    <t>⑥アD外交</t>
    <rPh sb="3" eb="5">
      <t>ガイコウ</t>
    </rPh>
    <phoneticPr fontId="34"/>
  </si>
  <si>
    <t>22H042</t>
  </si>
  <si>
    <t>3-8</t>
  </si>
  <si>
    <t>「アジア・紛争下での女性尊厳事業（韓国）」業務委嘱</t>
    <rPh sb="21" eb="23">
      <t>ギョウム</t>
    </rPh>
    <rPh sb="23" eb="25">
      <t>イショク</t>
    </rPh>
    <phoneticPr fontId="4"/>
  </si>
  <si>
    <t>特定非営利活動法人ＣＣＳＥＡ朋</t>
  </si>
  <si>
    <t>本件は、平成１８年度末で解散した財団法人女性のためのアジア平和国民基金が行っていた事業のフォローアップ事業であり、道義的観点及び人権保護の観点から個人のプライバシーを守る必要があることから、本事業対象者の個人情報を守りつつ本事業を実施できるのは、同基金の事業に関与した本契約の相手方の他になく、他に競争を許さないため（会計法第２９条の３第４項）。</t>
    <phoneticPr fontId="4"/>
  </si>
  <si>
    <t>22Z438</t>
  </si>
  <si>
    <t>3-9</t>
  </si>
  <si>
    <t>「インマルサット衛星通信装置」賃貸借契約</t>
    <rPh sb="15" eb="18">
      <t>チンタイシャク</t>
    </rPh>
    <rPh sb="18" eb="20">
      <t>ケイヤク</t>
    </rPh>
    <phoneticPr fontId="4"/>
  </si>
  <si>
    <t>株式会社日本デジコム</t>
  </si>
  <si>
    <t>東京都中央区新川２－２０－８</t>
  </si>
  <si>
    <t>東日本大震災に対する海外からの緊急援助隊のリエゾンとして出張する省員用の震災救援支援用品として、当該物品が緊急に必要となり、競争に付することができないため（会計法第２９条の３第４項）。</t>
    <rPh sb="0" eb="3">
      <t>ヒガシニホン</t>
    </rPh>
    <rPh sb="3" eb="6">
      <t>ダイシンサイ</t>
    </rPh>
    <rPh sb="7" eb="8">
      <t>タイ</t>
    </rPh>
    <rPh sb="10" eb="12">
      <t>カイガイ</t>
    </rPh>
    <rPh sb="15" eb="17">
      <t>キンキュウ</t>
    </rPh>
    <rPh sb="17" eb="20">
      <t>エンジョタイ</t>
    </rPh>
    <rPh sb="28" eb="30">
      <t>シュッチョウ</t>
    </rPh>
    <rPh sb="32" eb="34">
      <t>ショウイン</t>
    </rPh>
    <rPh sb="34" eb="35">
      <t>ヨウ</t>
    </rPh>
    <rPh sb="36" eb="38">
      <t>シンサイ</t>
    </rPh>
    <rPh sb="38" eb="40">
      <t>キュウエン</t>
    </rPh>
    <rPh sb="40" eb="42">
      <t>シエン</t>
    </rPh>
    <rPh sb="42" eb="44">
      <t>ヨウヒン</t>
    </rPh>
    <rPh sb="48" eb="50">
      <t>トウガイ</t>
    </rPh>
    <rPh sb="50" eb="52">
      <t>ブッピン</t>
    </rPh>
    <rPh sb="53" eb="55">
      <t>キンキュウ</t>
    </rPh>
    <rPh sb="56" eb="58">
      <t>ヒツヨウ</t>
    </rPh>
    <rPh sb="62" eb="64">
      <t>キョウソウ</t>
    </rPh>
    <rPh sb="65" eb="66">
      <t>フ</t>
    </rPh>
    <phoneticPr fontId="4"/>
  </si>
  <si>
    <t>⑤アDその他</t>
    <rPh sb="5" eb="6">
      <t>タ</t>
    </rPh>
    <phoneticPr fontId="2"/>
  </si>
  <si>
    <t>⑤ア</t>
    <phoneticPr fontId="2"/>
  </si>
  <si>
    <t>3-10</t>
  </si>
  <si>
    <t>「『統合Ｗｅｂ環境』のＩＰｖ６アドレス対応作業」業務委嘱</t>
    <rPh sb="24" eb="26">
      <t>ギョウム</t>
    </rPh>
    <rPh sb="26" eb="28">
      <t>イショク</t>
    </rPh>
    <phoneticPr fontId="4"/>
  </si>
  <si>
    <t>22H072</t>
  </si>
  <si>
    <t>3-11</t>
  </si>
  <si>
    <t>「国際漫画賞のトロフィーデザイン」業務委嘱</t>
    <rPh sb="17" eb="19">
      <t>ギョウム</t>
    </rPh>
    <rPh sb="19" eb="21">
      <t>イショク</t>
    </rPh>
    <phoneticPr fontId="4"/>
  </si>
  <si>
    <t>株式会社佐藤卓デザイン事務所</t>
    <phoneticPr fontId="4"/>
  </si>
  <si>
    <t>東京都中央区銀座１－１４－１１</t>
  </si>
  <si>
    <t>本件は、契約相手方が著作権を有する制作物のデザインの改変及び設計図を制作するものであり、他に競争を許さないため（会計法第２９条の３第４項）。</t>
  </si>
  <si>
    <t>アかカか？</t>
    <phoneticPr fontId="2"/>
  </si>
  <si>
    <t>⑥カD通達</t>
    <rPh sb="3" eb="5">
      <t>ツウタツ</t>
    </rPh>
    <phoneticPr fontId="34"/>
  </si>
  <si>
    <t>長期継続契約</t>
    <rPh sb="0" eb="2">
      <t>チョウキ</t>
    </rPh>
    <rPh sb="2" eb="4">
      <t>ケイゾク</t>
    </rPh>
    <rPh sb="4" eb="6">
      <t>ケイヤク</t>
    </rPh>
    <phoneticPr fontId="34"/>
  </si>
  <si>
    <t>22P460
22P461
22P464</t>
    <phoneticPr fontId="4"/>
  </si>
  <si>
    <t>⑥カ</t>
    <phoneticPr fontId="2"/>
  </si>
  <si>
    <t>3-12</t>
  </si>
  <si>
    <t>「外務省施設」ガス需給契約</t>
  </si>
  <si>
    <t>東京瓦斯株式会社</t>
    <rPh sb="0" eb="2">
      <t>トウキョウ</t>
    </rPh>
    <rPh sb="2" eb="4">
      <t>ガス</t>
    </rPh>
    <rPh sb="4" eb="8">
      <t>カブシキガイシャ</t>
    </rPh>
    <phoneticPr fontId="4"/>
  </si>
  <si>
    <t>東京都港区海岸１－５－２０</t>
  </si>
  <si>
    <t>予決令第１０２条の２に基づく長期継続契約に該当するため。</t>
    <rPh sb="0" eb="1">
      <t>ヨ</t>
    </rPh>
    <rPh sb="1" eb="3">
      <t>ケツレイ</t>
    </rPh>
    <rPh sb="3" eb="4">
      <t>ダイ</t>
    </rPh>
    <rPh sb="7" eb="8">
      <t>ジョウ</t>
    </rPh>
    <rPh sb="11" eb="12">
      <t>モト</t>
    </rPh>
    <rPh sb="14" eb="16">
      <t>チョウキ</t>
    </rPh>
    <rPh sb="16" eb="18">
      <t>ケイゾク</t>
    </rPh>
    <rPh sb="18" eb="20">
      <t>ケイヤク</t>
    </rPh>
    <rPh sb="21" eb="23">
      <t>ガイトウ</t>
    </rPh>
    <phoneticPr fontId="4"/>
  </si>
  <si>
    <t>22P455
22P456
22P457</t>
  </si>
  <si>
    <t>3-13</t>
  </si>
  <si>
    <t>「外務省本省庁舎等」上下水道利用契約</t>
  </si>
  <si>
    <t>東京都水道局</t>
    <rPh sb="0" eb="3">
      <t>トウキョウト</t>
    </rPh>
    <rPh sb="3" eb="6">
      <t>スイドウキョク</t>
    </rPh>
    <phoneticPr fontId="4"/>
  </si>
  <si>
    <t>東京都新宿区西新宿２－８－１</t>
  </si>
  <si>
    <t>22P463</t>
  </si>
  <si>
    <t>3-14</t>
  </si>
  <si>
    <t>「外務省研修所」上下水道利用契約</t>
  </si>
  <si>
    <t>神奈川県企業庁</t>
    <rPh sb="0" eb="4">
      <t>カナガワケン</t>
    </rPh>
    <rPh sb="4" eb="7">
      <t>キギョウチョウ</t>
    </rPh>
    <phoneticPr fontId="4"/>
  </si>
  <si>
    <t>神奈川県横浜市中区日本大通１</t>
    <rPh sb="4" eb="7">
      <t>ヨコハマシ</t>
    </rPh>
    <rPh sb="7" eb="9">
      <t>ナカク</t>
    </rPh>
    <rPh sb="9" eb="11">
      <t>ニホン</t>
    </rPh>
    <rPh sb="11" eb="13">
      <t>オオドオ</t>
    </rPh>
    <phoneticPr fontId="4"/>
  </si>
  <si>
    <t>22P477
22M098</t>
  </si>
  <si>
    <t>会計課経理室</t>
    <rPh sb="0" eb="3">
      <t>カイケイカ</t>
    </rPh>
    <rPh sb="3" eb="6">
      <t>ケイリシツ</t>
    </rPh>
    <phoneticPr fontId="4"/>
  </si>
  <si>
    <t>3-15</t>
  </si>
  <si>
    <t>後納郵便料</t>
  </si>
  <si>
    <t>郵便事業株式会社</t>
    <rPh sb="0" eb="2">
      <t>ユウビン</t>
    </rPh>
    <rPh sb="2" eb="4">
      <t>ジギョウ</t>
    </rPh>
    <rPh sb="4" eb="6">
      <t>カブシキ</t>
    </rPh>
    <rPh sb="6" eb="8">
      <t>カイシャ</t>
    </rPh>
    <phoneticPr fontId="4"/>
  </si>
  <si>
    <t>東京都千代田区丸の内２－７－２</t>
  </si>
  <si>
    <t>郵便法又は民間事業者による信書の送達に関する法律に規定する郵便及び信書の送達が可能な事業者は、郵便事業株式会社しかなく、他に競争を許さないため（会計法第２９条の３第４項）。</t>
  </si>
  <si>
    <t>22P527
22Z128</t>
  </si>
  <si>
    <t>3-16</t>
  </si>
  <si>
    <t>携帯電話使用料</t>
  </si>
  <si>
    <t>株式会社エヌ・ティ・ティ・ドコモ</t>
  </si>
  <si>
    <t>東京都千代田区永田町２－１１－１</t>
  </si>
  <si>
    <t>22Z134</t>
  </si>
  <si>
    <t>会計課調達室</t>
    <rPh sb="0" eb="3">
      <t>カイケイカ</t>
    </rPh>
    <rPh sb="3" eb="5">
      <t>チョウタツ</t>
    </rPh>
    <rPh sb="5" eb="6">
      <t>シツ</t>
    </rPh>
    <phoneticPr fontId="4"/>
  </si>
  <si>
    <t>3-17</t>
  </si>
  <si>
    <t>株式会社エイエスティジャパン</t>
  </si>
  <si>
    <t>神奈川県横浜市中区太田町４－４７</t>
  </si>
  <si>
    <t>④カD通達</t>
    <rPh sb="3" eb="5">
      <t>ツウタツ</t>
    </rPh>
    <phoneticPr fontId="34"/>
  </si>
  <si>
    <t>22P462</t>
  </si>
  <si>
    <t>④カ</t>
    <phoneticPr fontId="2"/>
  </si>
  <si>
    <t>3-18</t>
  </si>
  <si>
    <t>固定電話使用料</t>
  </si>
  <si>
    <t>東日本電信電話株式会社</t>
  </si>
  <si>
    <t>東京都新宿区西新宿３－１９－２</t>
  </si>
  <si>
    <t>22Z113
22P462</t>
  </si>
  <si>
    <t>3-19</t>
  </si>
  <si>
    <t>エヌ・ティ・ティ・コミュニケーションズ株式会社</t>
  </si>
  <si>
    <t>22Z113</t>
  </si>
  <si>
    <t>3-20</t>
  </si>
  <si>
    <t>②カD通達</t>
    <rPh sb="3" eb="5">
      <t>ツウタツ</t>
    </rPh>
    <phoneticPr fontId="34"/>
  </si>
  <si>
    <t>22Z028</t>
  </si>
  <si>
    <t>信</t>
    <rPh sb="0" eb="1">
      <t>シン</t>
    </rPh>
    <phoneticPr fontId="4"/>
  </si>
  <si>
    <t>会計課調達室／サービス３班</t>
    <rPh sb="0" eb="3">
      <t>カイケイカ</t>
    </rPh>
    <rPh sb="3" eb="5">
      <t>チョウタツ</t>
    </rPh>
    <rPh sb="5" eb="6">
      <t>シツ</t>
    </rPh>
    <rPh sb="12" eb="13">
      <t>ハン</t>
    </rPh>
    <phoneticPr fontId="4"/>
  </si>
  <si>
    <t>②カ</t>
    <phoneticPr fontId="2"/>
  </si>
  <si>
    <t>3-21</t>
  </si>
  <si>
    <t>霞が関ＷＡＮサービス</t>
  </si>
  <si>
    <t>社団法人行政情報システム研究所</t>
    <phoneticPr fontId="4"/>
  </si>
  <si>
    <t>東京都千代田区日比谷公園１－３</t>
  </si>
  <si>
    <t>22Z114</t>
  </si>
  <si>
    <t>3-22</t>
  </si>
  <si>
    <t>通信回線使用料</t>
  </si>
  <si>
    <t>3-23</t>
  </si>
  <si>
    <t>22Z114
22Z094</t>
  </si>
  <si>
    <t>会
領旅</t>
  </si>
  <si>
    <t>会計課管理室／営繕班
会計課調達室／サービス３班</t>
  </si>
  <si>
    <t>村田
-</t>
  </si>
  <si>
    <t>3-24</t>
  </si>
  <si>
    <t>22Z071</t>
  </si>
  <si>
    <t>領対</t>
    <rPh sb="0" eb="2">
      <t>リョウタイ</t>
    </rPh>
    <phoneticPr fontId="4"/>
  </si>
  <si>
    <t>3-25</t>
  </si>
  <si>
    <t>東京都中央区日本橋兜町１５－１１</t>
  </si>
  <si>
    <t>件</t>
    <rPh sb="0" eb="1">
      <t>ケン</t>
    </rPh>
    <phoneticPr fontId="2"/>
  </si>
  <si>
    <t>秘随契</t>
    <rPh sb="0" eb="1">
      <t>ヒ</t>
    </rPh>
    <rPh sb="1" eb="2">
      <t>ズイ</t>
    </rPh>
    <rPh sb="2" eb="3">
      <t>ケイ</t>
    </rPh>
    <phoneticPr fontId="2"/>
  </si>
  <si>
    <t>企画・公募</t>
    <rPh sb="0" eb="2">
      <t>キカク</t>
    </rPh>
    <rPh sb="3" eb="5">
      <t>コウボ</t>
    </rPh>
    <phoneticPr fontId="2"/>
  </si>
  <si>
    <t>場所が限定される賃貸借その他業務</t>
  </si>
  <si>
    <t>ロ</t>
  </si>
  <si>
    <t>行政目的を達成するために不可欠な業務を提供することが可能な者から提供を受けるもの</t>
  </si>
  <si>
    <t>ニ（ヘ）
に準ずる</t>
  </si>
  <si>
    <t>行政目的を達成するために不可欠な情報の提供</t>
  </si>
  <si>
    <t>ニ（ヘ）</t>
  </si>
  <si>
    <t>官報、法律案、予算案等の印刷業務</t>
  </si>
  <si>
    <t>ハ</t>
  </si>
  <si>
    <t>相手国との関係から業務の質を確保することについて特段の配慮を要するもの
行政目的を達成するために不可欠な業務を提供することが可能な者から提供を受けるもの</t>
  </si>
  <si>
    <t>国際的取り決めによるもの</t>
  </si>
  <si>
    <t>イ（ロ）</t>
  </si>
  <si>
    <t>契約名称及び内容</t>
    <rPh sb="0" eb="2">
      <t>ケイヤク</t>
    </rPh>
    <rPh sb="2" eb="4">
      <t>メイショウ</t>
    </rPh>
    <rPh sb="4" eb="5">
      <t>オヨ</t>
    </rPh>
    <rPh sb="6" eb="8">
      <t>ナイヨウ</t>
    </rPh>
    <phoneticPr fontId="4"/>
  </si>
  <si>
    <t>契約担当官等の氏名並びにの所属する部局名称及び所在地</t>
    <rPh sb="0" eb="2">
      <t>ケイヤク</t>
    </rPh>
    <rPh sb="2" eb="5">
      <t>タントウカン</t>
    </rPh>
    <rPh sb="5" eb="6">
      <t>トウ</t>
    </rPh>
    <rPh sb="7" eb="9">
      <t>シメイ</t>
    </rPh>
    <rPh sb="9" eb="10">
      <t>ナラ</t>
    </rPh>
    <rPh sb="13" eb="15">
      <t>ショゾク</t>
    </rPh>
    <rPh sb="17" eb="19">
      <t>ブキョク</t>
    </rPh>
    <rPh sb="19" eb="21">
      <t>メイショウ</t>
    </rPh>
    <rPh sb="21" eb="22">
      <t>オヨ</t>
    </rPh>
    <rPh sb="23" eb="26">
      <t>ショザイチ</t>
    </rPh>
    <phoneticPr fontId="4"/>
  </si>
  <si>
    <t>随意契約によらざるを得ない理由</t>
    <rPh sb="0" eb="2">
      <t>ズイイ</t>
    </rPh>
    <rPh sb="2" eb="4">
      <t>ケイヤク</t>
    </rPh>
    <rPh sb="10" eb="11">
      <t>エ</t>
    </rPh>
    <rPh sb="13" eb="15">
      <t>リユウ</t>
    </rPh>
    <phoneticPr fontId="4"/>
  </si>
  <si>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ウエ</t>
    </rPh>
    <rPh sb="26" eb="28">
      <t>コンキョ</t>
    </rPh>
    <rPh sb="28" eb="30">
      <t>クブン</t>
    </rPh>
    <phoneticPr fontId="4"/>
  </si>
  <si>
    <t>（省庁名：外務省）</t>
    <rPh sb="1" eb="4">
      <t>ショウチョウメイ</t>
    </rPh>
    <rPh sb="5" eb="8">
      <t>ガイムショウ</t>
    </rPh>
    <phoneticPr fontId="4"/>
  </si>
  <si>
    <t>再就職の役員の数</t>
    <rPh sb="0" eb="3">
      <t>サイシュウショク</t>
    </rPh>
    <rPh sb="4" eb="6">
      <t>ヤクイン</t>
    </rPh>
    <rPh sb="7" eb="8">
      <t>カズ</t>
    </rPh>
    <phoneticPr fontId="4"/>
  </si>
  <si>
    <t>年間にわたり、複数案件あり</t>
    <rPh sb="0" eb="2">
      <t>ネンカン</t>
    </rPh>
    <rPh sb="7" eb="9">
      <t>フクスウ</t>
    </rPh>
    <rPh sb="9" eb="11">
      <t>アンケン</t>
    </rPh>
    <phoneticPr fontId="4"/>
  </si>
  <si>
    <t>随意契約によることとした会計法令　　　　　　　　　　　　　　　　　　　　　　　　　　　　　　　の根拠条文及びその理由　　　　　　　　　　　　　　　　　　　　　　　　　　　　　　　　　　　（企画競争又は公募）</t>
    <rPh sb="0" eb="2">
      <t>ズイイ</t>
    </rPh>
    <rPh sb="2" eb="4">
      <t>ケイヤク</t>
    </rPh>
    <rPh sb="12" eb="14">
      <t>カイケイ</t>
    </rPh>
    <rPh sb="14" eb="16">
      <t>ホウレイ</t>
    </rPh>
    <rPh sb="48" eb="50">
      <t>コンキョ</t>
    </rPh>
    <rPh sb="50" eb="52">
      <t>ジョウブン</t>
    </rPh>
    <rPh sb="52" eb="53">
      <t>オヨ</t>
    </rPh>
    <rPh sb="56" eb="58">
      <t>リユウ</t>
    </rPh>
    <rPh sb="94" eb="96">
      <t>キカク</t>
    </rPh>
    <rPh sb="96" eb="98">
      <t>キョウソウ</t>
    </rPh>
    <rPh sb="98" eb="99">
      <t>マタ</t>
    </rPh>
    <rPh sb="100" eb="102">
      <t>コウボ</t>
    </rPh>
    <phoneticPr fontId="4"/>
  </si>
  <si>
    <t>複数単価</t>
    <rPh sb="0" eb="2">
      <t>フクスウ</t>
    </rPh>
    <rPh sb="2" eb="4">
      <t>タンカ</t>
    </rPh>
    <phoneticPr fontId="4"/>
  </si>
  <si>
    <t>【様式2】</t>
    <rPh sb="1" eb="3">
      <t>ヨウシキ</t>
    </rPh>
    <phoneticPr fontId="4"/>
  </si>
  <si>
    <t>「成田分室他」賃貸借契約</t>
    <rPh sb="7" eb="10">
      <t>チンタイシャク</t>
    </rPh>
    <rPh sb="10" eb="12">
      <t>ケイヤク</t>
    </rPh>
    <phoneticPr fontId="4"/>
  </si>
  <si>
    <t>契約目的、行政効率等を勘案した結果、契約物件に代替可能な物件は見あたらず、他に競争を許さないため（会計法第２９条の３第４項）。</t>
  </si>
  <si>
    <t>当該情報サービスの提供元と直接契約するものであり、他に競争を許さないため（会計法第２９条の３第４項）。</t>
  </si>
  <si>
    <t>本件サービスの提供が可能な業者は、本契約相手方の他になく、他に競争を許さないため（会計法第２９条の３第４項）。</t>
  </si>
  <si>
    <t>当該情報サービスの提供元と直接契約するものであり、他に競争を許さないため（会計法第２９条の３第４項）。</t>
    <phoneticPr fontId="4"/>
  </si>
  <si>
    <t>四島住民に真に必要な支援を実施し、領土問題の啓発を行いながら我が国に対する信頼感を高め、平和条約締結交渉の環境整備に資することが可能なのは、地方公共団体の他になく、他に競争を許さないため。（会計法第２９条の３第４項）</t>
  </si>
  <si>
    <t>四島住民に真に必要な支援を実施し，領土問題の啓発を行いながら我が国に対する信頼感を高め，平和条約締結交渉の環境整備に資することが可能なのは，地方公共団体の他になく，他に競争を許さないため。（会計法第２９条の３第４項）</t>
  </si>
  <si>
    <t>本件契約は，移送される患者の身体的負担にかんがみ，適切な治療・診断を行うことのできる施設及び医師を擁し，患者の病院までの移送距離が短いことが必要不可欠である。同病院は移動時間１時間以内に入院治療が可能であり，かつ事前に初診診断のできない入院患者への治療行為を行うことができることから，他に競争を許さないため。（会計法第２９条の３第４項）</t>
  </si>
  <si>
    <t>四島住民に真に必要な支援を実施し、領土問題の啓発を行いながら我が国に対する信頼感を高め、平和条約締結交渉の環境整備に資することが可能なのは、地方公共団体の他になく、他に競争を許さないため（会計法第２９条の３第４項）</t>
  </si>
  <si>
    <t>本件契約は、移送される患者の身体的負担にかんがみ、適切な治療・診断を行うことのできる施設及び医師を擁し、患者の病院までの移送距離が短いことが必要不可欠である。同病院は移動時間１時間以内に入院治療が可能であり、かつ事前に初診診断のできない入院患者への治療行為を行うことができることから、他に競争を許さないため（会計法第２９条の３第４項）</t>
  </si>
  <si>
    <t>支出負担行為担当官
外務省大臣官房会計課長　水嶋光一
東京都千代田区霞が関２－２－１</t>
    <rPh sb="0" eb="2">
      <t>シシュツ</t>
    </rPh>
    <rPh sb="2" eb="4">
      <t>フタン</t>
    </rPh>
    <rPh sb="4" eb="6">
      <t>コウイ</t>
    </rPh>
    <rPh sb="6" eb="9">
      <t>タントウカン</t>
    </rPh>
    <rPh sb="10" eb="13">
      <t>ガイムショウ</t>
    </rPh>
    <rPh sb="13" eb="15">
      <t>ダイジン</t>
    </rPh>
    <rPh sb="15" eb="17">
      <t>カンボウ</t>
    </rPh>
    <rPh sb="17" eb="19">
      <t>カイケイ</t>
    </rPh>
    <rPh sb="19" eb="21">
      <t>カチョウ</t>
    </rPh>
    <rPh sb="22" eb="24">
      <t>ミズシマ</t>
    </rPh>
    <rPh sb="24" eb="26">
      <t>コウイチ</t>
    </rPh>
    <rPh sb="27" eb="30">
      <t>トウキョウト</t>
    </rPh>
    <rPh sb="30" eb="34">
      <t>チヨダク</t>
    </rPh>
    <rPh sb="34" eb="35">
      <t>カスミ</t>
    </rPh>
    <rPh sb="36" eb="37">
      <t>セキ</t>
    </rPh>
    <phoneticPr fontId="4"/>
  </si>
  <si>
    <t>株式会社ＪＶＣケンウッド</t>
  </si>
  <si>
    <t>本件保守用部品の提供が可能な業者は当該機器の製造業者である本契約の相手方の他になく、他に競争を許さないため（会計法第２９条の３第４項）。</t>
  </si>
  <si>
    <t>株式会社リンガバンク　他</t>
    <rPh sb="11" eb="12">
      <t>ホカ</t>
    </rPh>
    <phoneticPr fontId="4"/>
  </si>
  <si>
    <t>東京都港区西新橋３－１５－３　他</t>
    <rPh sb="7" eb="8">
      <t>ハシ</t>
    </rPh>
    <rPh sb="15" eb="16">
      <t>ホカ</t>
    </rPh>
    <phoneticPr fontId="4"/>
  </si>
  <si>
    <t>「北方四島住民支援事業（患者受入事業）」業務委嘱</t>
    <rPh sb="16" eb="18">
      <t>ジギョウ</t>
    </rPh>
    <rPh sb="20" eb="22">
      <t>ギョウム</t>
    </rPh>
    <rPh sb="22" eb="24">
      <t>イショク</t>
    </rPh>
    <phoneticPr fontId="4"/>
  </si>
  <si>
    <t>「沖縄事務所の建物」賃貸借契約</t>
  </si>
  <si>
    <t>過去における法律相談等の継続性・整合性を保ちつつ、円滑な対応を確保していくには、これまでの情報の蓄積が必要不可欠であり、右情報を有しているのは本契約相手方の他になく、他に競争を許さないため（会計法２９条の３第４項）</t>
  </si>
  <si>
    <t>ＡＰ通信社</t>
    <phoneticPr fontId="4"/>
  </si>
  <si>
    <t>「沖縄担当大使の宿舎」賃貸借契約</t>
  </si>
  <si>
    <t>特定個人</t>
    <rPh sb="0" eb="2">
      <t>トクテイ</t>
    </rPh>
    <rPh sb="2" eb="4">
      <t>コジン</t>
    </rPh>
    <phoneticPr fontId="4"/>
  </si>
  <si>
    <t>特定個人住所</t>
    <rPh sb="0" eb="2">
      <t>トクテイ</t>
    </rPh>
    <rPh sb="2" eb="4">
      <t>コジン</t>
    </rPh>
    <rPh sb="4" eb="6">
      <t>ジュウショ</t>
    </rPh>
    <phoneticPr fontId="4"/>
  </si>
  <si>
    <t>「Ｃｏｕｎｔｒｙ　Ｒｅｐｏｒｔｓ」及び「Ｃｏｕｎｔｒｙ　Ｆｏｒｅｃａｓｔ　Ｒｅｇｉｏｎａｌ　Ｏｖｅｒｖｉｅｗ」並びに「Ｒｉｓｋ　Ｂｒｉｅｆｉｎｇ　Ａｆｒｉｃａ」（インターネット版）の購読業務委嘱</t>
    <rPh sb="93" eb="97">
      <t>ギョウムイショク</t>
    </rPh>
    <phoneticPr fontId="4"/>
  </si>
  <si>
    <t>当該情報サービス代理店と直接契約するものであり、他に競争を許さないため。（会計法第２９条の３第４項）</t>
  </si>
  <si>
    <t>「成田国際空港有料待合室の借り上げ」業務委嘱</t>
    <rPh sb="18" eb="22">
      <t>ギョウムイショク</t>
    </rPh>
    <phoneticPr fontId="4"/>
  </si>
  <si>
    <t>本件サービスの提供が可能な業者は、本案件の相手方の他になく、他に競争を許さないため。（会計法第２９条の３第４項）</t>
  </si>
  <si>
    <t>「官報公告等掲載契約」業務委嘱</t>
    <rPh sb="11" eb="15">
      <t>ギョウムイショク</t>
    </rPh>
    <phoneticPr fontId="4"/>
  </si>
  <si>
    <t>「行政事務等に関する法律顧問契約」業務委嘱</t>
    <rPh sb="17" eb="21">
      <t>ギョウムイショク</t>
    </rPh>
    <phoneticPr fontId="4"/>
  </si>
  <si>
    <t>「ＡＰ通信ニュース受信契約」業務委嘱</t>
    <rPh sb="14" eb="18">
      <t>ギョウムイショク</t>
    </rPh>
    <phoneticPr fontId="4"/>
  </si>
  <si>
    <t>「本省他ＣＮＮ放送受信契約」業務委嘱</t>
    <rPh sb="14" eb="18">
      <t>ギョウムイショク</t>
    </rPh>
    <phoneticPr fontId="4"/>
  </si>
  <si>
    <t>「ＡＦＰニュースサービス受信契約」業務委嘱</t>
    <rPh sb="17" eb="21">
      <t>ギョウムイショク</t>
    </rPh>
    <phoneticPr fontId="4"/>
  </si>
  <si>
    <t>「朝鮮通信社によるニュース配信契約」業務委嘱</t>
    <rPh sb="18" eb="22">
      <t>ギョウムイショク</t>
    </rPh>
    <phoneticPr fontId="4"/>
  </si>
  <si>
    <t>「ファクティバ・ドットコム受信契約」業務委嘱</t>
    <rPh sb="18" eb="22">
      <t>ギョウムイショク</t>
    </rPh>
    <phoneticPr fontId="4"/>
  </si>
  <si>
    <t>「本省他ＢＢＣ放送受信契約」業務委嘱</t>
    <rPh sb="14" eb="18">
      <t>ギョウムイショク</t>
    </rPh>
    <phoneticPr fontId="4"/>
  </si>
  <si>
    <t>「成田国際空港フライト情報の提供及びビデオ表示器使用料」業務委嘱</t>
    <rPh sb="28" eb="32">
      <t>ギョウムイショク</t>
    </rPh>
    <phoneticPr fontId="4"/>
  </si>
  <si>
    <t>「外国新聞（Ｆｉｎａｎｃｉａｌ　Ｔｉｍｅｓ）の購読契約」業務委嘱</t>
    <rPh sb="28" eb="32">
      <t>ギョウムイショク</t>
    </rPh>
    <phoneticPr fontId="4"/>
  </si>
  <si>
    <t>ワン・ワールドフェスティバル（大阪）における外務省主催シンポジウム等開催業務</t>
  </si>
  <si>
    <t>大阪府大阪市中央区内本町１－４－１２</t>
  </si>
  <si>
    <t>本フェスティバルは契約相手先が事務局としてロジ全般を行っているフェスティバルの一部分を当方事業として行うものであり、同団体以外に本件ロジ業務委嘱を行える団体は存在せず、他に競争を許さないため（会計法第２９条の３第４項）。</t>
  </si>
  <si>
    <t>「在外公館用ＦＭ放送機等無線機の保守・運用指導」業務委嘱</t>
    <rPh sb="24" eb="26">
      <t>ギョウム</t>
    </rPh>
    <rPh sb="26" eb="28">
      <t>イショク</t>
    </rPh>
    <phoneticPr fontId="26"/>
  </si>
  <si>
    <t>「アジア太平洋安全保障協力会議の研究」業務委嘱</t>
    <rPh sb="19" eb="21">
      <t>ギョウム</t>
    </rPh>
    <rPh sb="21" eb="23">
      <t>イショク</t>
    </rPh>
    <phoneticPr fontId="4"/>
  </si>
  <si>
    <t>公益財団法人日本国際
問題研究所</t>
  </si>
  <si>
    <t>東京都千代田区霞が関
３－８－１</t>
  </si>
  <si>
    <t>契約の性質又は目的から特定の者でなければ納入又は履行できないため（会計法第２９条の３第４項）。</t>
    <rPh sb="0" eb="2">
      <t>ケイヤク</t>
    </rPh>
    <rPh sb="3" eb="5">
      <t>セイシツ</t>
    </rPh>
    <rPh sb="5" eb="6">
      <t>マタ</t>
    </rPh>
    <rPh sb="7" eb="9">
      <t>モクテキ</t>
    </rPh>
    <rPh sb="11" eb="13">
      <t>トクテイ</t>
    </rPh>
    <rPh sb="14" eb="15">
      <t>モノ</t>
    </rPh>
    <rPh sb="20" eb="22">
      <t>ノウニュウ</t>
    </rPh>
    <rPh sb="22" eb="23">
      <t>マタ</t>
    </rPh>
    <rPh sb="24" eb="26">
      <t>リコウ</t>
    </rPh>
    <rPh sb="33" eb="36">
      <t>カイケイホウ</t>
    </rPh>
    <rPh sb="36" eb="37">
      <t>ダイ</t>
    </rPh>
    <rPh sb="39" eb="40">
      <t>ジョウ</t>
    </rPh>
    <rPh sb="42" eb="43">
      <t>ダイ</t>
    </rPh>
    <rPh sb="44" eb="45">
      <t>コウ</t>
    </rPh>
    <phoneticPr fontId="4"/>
  </si>
  <si>
    <t>政府要人の国際会議等出席に係る通訳業務（４件）</t>
    <rPh sb="0" eb="2">
      <t>セイフ</t>
    </rPh>
    <rPh sb="2" eb="4">
      <t>ヨウジン</t>
    </rPh>
    <rPh sb="5" eb="7">
      <t>コクサイ</t>
    </rPh>
    <rPh sb="7" eb="9">
      <t>カイギ</t>
    </rPh>
    <rPh sb="9" eb="10">
      <t>トウ</t>
    </rPh>
    <rPh sb="10" eb="12">
      <t>シュッセキ</t>
    </rPh>
    <rPh sb="13" eb="14">
      <t>カカ</t>
    </rPh>
    <rPh sb="15" eb="17">
      <t>ツウヤク</t>
    </rPh>
    <rPh sb="17" eb="19">
      <t>ギョウム</t>
    </rPh>
    <rPh sb="21" eb="22">
      <t>ケン</t>
    </rPh>
    <phoneticPr fontId="4"/>
  </si>
  <si>
    <t>国公賓実務訪問賓客等接遇（宿舎契約）（１８件）</t>
    <rPh sb="0" eb="1">
      <t>クニ</t>
    </rPh>
    <rPh sb="1" eb="3">
      <t>コウヒン</t>
    </rPh>
    <rPh sb="3" eb="5">
      <t>ジツム</t>
    </rPh>
    <rPh sb="5" eb="7">
      <t>ホウモン</t>
    </rPh>
    <rPh sb="7" eb="9">
      <t>ヒンキャク</t>
    </rPh>
    <rPh sb="9" eb="10">
      <t>トウ</t>
    </rPh>
    <rPh sb="10" eb="12">
      <t>セツグウ</t>
    </rPh>
    <rPh sb="13" eb="15">
      <t>シュクシャ</t>
    </rPh>
    <rPh sb="15" eb="17">
      <t>ケイヤク</t>
    </rPh>
    <rPh sb="21" eb="22">
      <t>ケン</t>
    </rPh>
    <phoneticPr fontId="4"/>
  </si>
  <si>
    <t>株式会社ニューオータニ他</t>
    <rPh sb="11" eb="12">
      <t>ホカ</t>
    </rPh>
    <phoneticPr fontId="4"/>
  </si>
  <si>
    <t>東京都千代田区紀尾井町４－１他</t>
    <rPh sb="14" eb="15">
      <t>ホカ</t>
    </rPh>
    <phoneticPr fontId="4"/>
  </si>
  <si>
    <t>フィナンシャル・タイムズ（ジャパン）リミテッド</t>
    <phoneticPr fontId="4"/>
  </si>
  <si>
    <t>東京都千代田区内幸町１－１－７</t>
    <phoneticPr fontId="4"/>
  </si>
  <si>
    <t>ニ（ヘ）</t>
    <phoneticPr fontId="4"/>
  </si>
  <si>
    <t>北海道標津郡中標津町西１０条南９－１－１</t>
    <phoneticPr fontId="4"/>
  </si>
  <si>
    <t>四島住民に真に必要な支援を実施し、領土問題の啓発を行いながら我が国に対する信頼感を高め、平和条約締結交渉の環境整備に資することが可能なのは、地方公共団体の他になく、他に競争を許さないため（会計法第２９条の３第４項）</t>
    <phoneticPr fontId="4"/>
  </si>
  <si>
    <t>北海道標津郡中標津町西十条南９－１－１</t>
    <phoneticPr fontId="4"/>
  </si>
  <si>
    <t>平成２５年度以降も競争性のない随意契約によらざるを得ない契約</t>
    <rPh sb="0" eb="2">
      <t>ヘイセイ</t>
    </rPh>
    <rPh sb="4" eb="6">
      <t>ネンド</t>
    </rPh>
    <rPh sb="6" eb="8">
      <t>イコウ</t>
    </rPh>
    <rPh sb="9" eb="12">
      <t>キョウソウセイ</t>
    </rPh>
    <rPh sb="15" eb="17">
      <t>ズイイ</t>
    </rPh>
    <rPh sb="17" eb="19">
      <t>ケイヤク</t>
    </rPh>
    <rPh sb="25" eb="26">
      <t>エ</t>
    </rPh>
    <rPh sb="28" eb="30">
      <t>ケイヤク</t>
    </rPh>
    <phoneticPr fontId="4"/>
  </si>
  <si>
    <t>「Ｌｅｘｉｓ　Ｎｅｘｉｓオンライン情報サービス「Ｌｅｘｉｓ．ｃｏｍ」」契約</t>
    <rPh sb="35" eb="37">
      <t>ケイヤク</t>
    </rPh>
    <phoneticPr fontId="4"/>
  </si>
  <si>
    <t xml:space="preserve">
本件サービスの提供が可能な業者は、本契約相手方の他になく、他に競争を許さないため（会計法第２９条の３第４項）。</t>
    <phoneticPr fontId="4"/>
  </si>
  <si>
    <t xml:space="preserve">
当該刊行物の出版元と直接契約するものであり、他に競争を許さないため（会計法第２９条の３第４項）。</t>
    <phoneticPr fontId="4"/>
  </si>
  <si>
    <t xml:space="preserve">
当該情報サービスの提供元と直接契約するものであり、他に競争を許さないため（会計法第２９条の３第４項）。</t>
    <phoneticPr fontId="4"/>
  </si>
  <si>
    <t>「北方四島住民支援事業（患者受入事業）」業務委嘱</t>
    <rPh sb="16" eb="18">
      <t>ジギョウ</t>
    </rPh>
    <rPh sb="20" eb="22">
      <t>ギョウム</t>
    </rPh>
    <rPh sb="22" eb="24">
      <t>イショク</t>
    </rPh>
    <phoneticPr fontId="31"/>
  </si>
  <si>
    <t>「北方四島住民支援事業（患者受入事業）」業務委嘱</t>
    <rPh sb="16" eb="18">
      <t>ジギョウ</t>
    </rPh>
    <rPh sb="20" eb="22">
      <t>ギョウム</t>
    </rPh>
    <rPh sb="22" eb="24">
      <t>イショク</t>
    </rPh>
    <phoneticPr fontId="2"/>
  </si>
</sst>
</file>

<file path=xl/styles.xml><?xml version="1.0" encoding="utf-8"?>
<styleSheet xmlns="http://schemas.openxmlformats.org/spreadsheetml/2006/main">
  <numFmts count="12">
    <numFmt numFmtId="176" formatCode="0_ "/>
    <numFmt numFmtId="177" formatCode="&quot;04-&quot;0"/>
    <numFmt numFmtId="178" formatCode="[$-411]ggge&quot;年&quot;m&quot;月&quot;d&quot;日&quot;;@"/>
    <numFmt numFmtId="179" formatCode="[$-411]ggge&quot;年&quot;mm&quot;月&quot;dd&quot;日&quot;;@"/>
    <numFmt numFmtId="180" formatCode="0.0%"/>
    <numFmt numFmtId="181" formatCode="0;0;"/>
    <numFmt numFmtId="182" formatCode="[$-411]ge\.m\.d;@"/>
    <numFmt numFmtId="183" formatCode="&quot;05&quot;\-0"/>
    <numFmt numFmtId="184" formatCode="&quot;06-&quot;0"/>
    <numFmt numFmtId="185" formatCode="&quot;7-&quot;0"/>
    <numFmt numFmtId="186" formatCode="#,##0_);[Red]\(#,##0\)"/>
    <numFmt numFmtId="187" formatCode="0\2\-00"/>
  </numFmts>
  <fonts count="6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sz val="11"/>
      <color rgb="FFFF0000"/>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1"/>
      <color theme="3" tint="0.39997558519241921"/>
      <name val="ＭＳ Ｐゴシック"/>
      <family val="3"/>
      <charset val="128"/>
      <scheme val="minor"/>
    </font>
    <font>
      <b/>
      <sz val="14"/>
      <color theme="3" tint="0.39997558519241921"/>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4"/>
      <color theme="1"/>
      <name val="ＭＳ Ｐゴシック"/>
      <family val="2"/>
      <charset val="128"/>
      <scheme val="minor"/>
    </font>
    <font>
      <b/>
      <sz val="18"/>
      <color theme="1"/>
      <name val="ＭＳ Ｐゴシック"/>
      <family val="3"/>
      <charset val="128"/>
      <scheme val="minor"/>
    </font>
    <font>
      <b/>
      <sz val="16"/>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b/>
      <sz val="8"/>
      <color theme="1"/>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sz val="12"/>
      <name val="ＭＳ Ｐゴシック"/>
      <family val="3"/>
      <charset val="128"/>
    </font>
    <font>
      <sz val="11"/>
      <name val="ＭＳ Ｐゴシック"/>
      <family val="3"/>
      <charset val="128"/>
    </font>
    <font>
      <sz val="9"/>
      <name val="ＭＳ Ｐゴシック"/>
      <family val="3"/>
      <charset val="128"/>
      <scheme val="minor"/>
    </font>
    <font>
      <sz val="8"/>
      <name val="ＭＳ Ｐゴシック"/>
      <family val="3"/>
      <charset val="128"/>
      <scheme val="minor"/>
    </font>
    <font>
      <sz val="6"/>
      <name val="ＭＳ Ｐゴシック"/>
      <family val="3"/>
      <charset val="128"/>
    </font>
    <font>
      <sz val="9"/>
      <name val="ＭＳ Ｐゴシック"/>
      <family val="3"/>
      <charset val="128"/>
    </font>
    <font>
      <sz val="16"/>
      <name val="ＭＳ Ｐゴシック"/>
      <family val="3"/>
      <charset val="128"/>
    </font>
    <font>
      <sz val="11"/>
      <color theme="1"/>
      <name val="ＭＳ Ｐゴシック"/>
      <family val="3"/>
      <charset val="128"/>
      <scheme val="minor"/>
    </font>
    <font>
      <b/>
      <sz val="16"/>
      <color rgb="FF0070C0"/>
      <name val="ＭＳ Ｐゴシック"/>
      <family val="3"/>
      <charset val="128"/>
      <scheme val="minor"/>
    </font>
    <font>
      <b/>
      <sz val="9"/>
      <color rgb="FFFF0000"/>
      <name val="ＭＳ Ｐゴシック"/>
      <family val="3"/>
      <charset val="128"/>
      <scheme val="minor"/>
    </font>
    <font>
      <b/>
      <sz val="12"/>
      <color theme="1"/>
      <name val="ＭＳ Ｐゴシック"/>
      <family val="3"/>
      <charset val="128"/>
      <scheme val="minor"/>
    </font>
    <font>
      <sz val="9"/>
      <color rgb="FFFF0000"/>
      <name val="ＭＳ Ｐゴシック"/>
      <family val="3"/>
      <charset val="128"/>
      <scheme val="minor"/>
    </font>
    <font>
      <sz val="16"/>
      <color theme="1"/>
      <name val="ＭＳ Ｐゴシック"/>
      <family val="3"/>
      <charset val="128"/>
      <scheme val="minor"/>
    </font>
    <font>
      <sz val="14"/>
      <color indexed="62"/>
      <name val="ＭＳ Ｐゴシック"/>
      <family val="3"/>
      <charset val="128"/>
    </font>
    <font>
      <sz val="10"/>
      <color rgb="FFFF0000"/>
      <name val="ＭＳ Ｐゴシック"/>
      <family val="3"/>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2"/>
      <charset val="128"/>
    </font>
    <font>
      <sz val="11"/>
      <color rgb="FFFF0000"/>
      <name val="ＭＳ Ｐゴシック"/>
      <family val="3"/>
      <charset val="128"/>
    </font>
    <font>
      <sz val="8"/>
      <color theme="1"/>
      <name val="ＭＳ Ｐゴシック"/>
      <family val="2"/>
      <charset val="128"/>
      <scheme val="minor"/>
    </font>
    <font>
      <sz val="10"/>
      <name val="ＭＳ Ｐゴシック"/>
      <family val="3"/>
      <charset val="128"/>
    </font>
    <font>
      <sz val="12"/>
      <color rgb="FFFF0000"/>
      <name val="ＭＳ Ｐゴシック"/>
      <family val="3"/>
      <charset val="128"/>
      <scheme val="minor"/>
    </font>
    <font>
      <b/>
      <sz val="12"/>
      <name val="ＭＳ Ｐゴシック"/>
      <family val="3"/>
      <charset val="128"/>
    </font>
    <font>
      <sz val="12"/>
      <color indexed="8"/>
      <name val="ＭＳ Ｐゴシック"/>
      <family val="3"/>
      <charset val="128"/>
    </font>
    <font>
      <sz val="8"/>
      <name val="ＭＳ Ｐゴシック"/>
      <family val="3"/>
      <charset val="128"/>
    </font>
    <font>
      <sz val="9"/>
      <color indexed="8"/>
      <name val="ＭＳ Ｐゴシック"/>
      <family val="3"/>
      <charset val="128"/>
    </font>
    <font>
      <sz val="12"/>
      <color rgb="FFFF0000"/>
      <name val="ＭＳ Ｐゴシック"/>
      <family val="3"/>
      <charset val="128"/>
    </font>
    <font>
      <sz val="16"/>
      <color theme="1"/>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4"/>
      <color rgb="FF7030A0"/>
      <name val="ＭＳ Ｐゴシック"/>
      <family val="2"/>
      <charset val="128"/>
      <scheme val="minor"/>
    </font>
    <font>
      <sz val="11"/>
      <color rgb="FFFF0000"/>
      <name val="ＭＳ Ｐゴシック"/>
      <family val="3"/>
      <charset val="128"/>
      <scheme val="minor"/>
    </font>
    <font>
      <sz val="12"/>
      <name val="ＭＳ Ｐゴシック"/>
      <family val="3"/>
      <charset val="128"/>
      <scheme val="minor"/>
    </font>
    <font>
      <b/>
      <sz val="26"/>
      <name val="ＭＳ Ｐゴシック"/>
      <family val="3"/>
      <charset val="128"/>
    </font>
    <font>
      <b/>
      <sz val="22"/>
      <color theme="1"/>
      <name val="ＭＳ Ｐゴシック"/>
      <family val="3"/>
      <charset val="128"/>
      <scheme val="minor"/>
    </font>
    <font>
      <b/>
      <sz val="26"/>
      <color theme="1"/>
      <name val="ＭＳ Ｐゴシック"/>
      <family val="3"/>
      <charset val="128"/>
      <scheme val="minor"/>
    </font>
    <font>
      <sz val="10"/>
      <name val="ＭＳ Ｐゴシック"/>
      <family val="3"/>
      <charset val="128"/>
      <scheme val="minor"/>
    </font>
  </fonts>
  <fills count="2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mediumGray">
        <fgColor theme="0" tint="-0.14996795556505021"/>
        <bgColor indexed="65"/>
      </patternFill>
    </fill>
    <fill>
      <patternFill patternType="solid">
        <fgColor rgb="FFF9C3EA"/>
        <bgColor indexed="64"/>
      </patternFill>
    </fill>
    <fill>
      <patternFill patternType="mediumGray">
        <fgColor theme="3" tint="0.79998168889431442"/>
        <bgColor indexed="65"/>
      </patternFill>
    </fill>
    <fill>
      <patternFill patternType="solid">
        <fgColor theme="8" tint="0.79998168889431442"/>
        <bgColor indexed="64"/>
      </patternFill>
    </fill>
    <fill>
      <patternFill patternType="solid">
        <fgColor rgb="FFD2ECB6"/>
        <bgColor indexed="64"/>
      </patternFill>
    </fill>
    <fill>
      <patternFill patternType="mediumGray">
        <fgColor theme="3" tint="0.59996337778862885"/>
        <bgColor theme="0"/>
      </patternFill>
    </fill>
    <fill>
      <patternFill patternType="mediumGray">
        <fgColor theme="3" tint="0.59996337778862885"/>
        <bgColor indexed="65"/>
      </patternFill>
    </fill>
    <fill>
      <patternFill patternType="solid">
        <fgColor rgb="FFFFFFDD"/>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indexed="9"/>
        <bgColor indexed="64"/>
      </patternFill>
    </fill>
    <fill>
      <patternFill patternType="solid">
        <fgColor indexed="65"/>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auto="1"/>
        <bgColor indexed="64"/>
      </patternFill>
    </fill>
  </fills>
  <borders count="75">
    <border>
      <left/>
      <right/>
      <top/>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right style="thin">
        <color auto="1"/>
      </right>
      <top style="thick">
        <color auto="1"/>
      </top>
      <bottom/>
      <diagonal/>
    </border>
    <border>
      <left style="thin">
        <color auto="1"/>
      </left>
      <right/>
      <top style="thick">
        <color auto="1"/>
      </top>
      <bottom style="thin">
        <color auto="1"/>
      </bottom>
      <diagonal/>
    </border>
    <border>
      <left/>
      <right style="thin">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diagonal/>
    </border>
    <border>
      <left/>
      <right style="thin">
        <color auto="1"/>
      </right>
      <top/>
      <bottom/>
      <diagonal/>
    </border>
    <border>
      <left style="thin">
        <color auto="1"/>
      </left>
      <right style="thin">
        <color auto="1"/>
      </right>
      <top style="thin">
        <color auto="1"/>
      </top>
      <bottom/>
      <diagonal/>
    </border>
    <border>
      <left style="thin">
        <color indexed="64"/>
      </left>
      <right style="thick">
        <color auto="1"/>
      </right>
      <top style="thin">
        <color indexed="64"/>
      </top>
      <bottom/>
      <diagonal/>
    </border>
    <border>
      <left style="thick">
        <color auto="1"/>
      </left>
      <right/>
      <top style="medium">
        <color auto="1"/>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style="thin">
        <color auto="1"/>
      </left>
      <right style="thin">
        <color indexed="64"/>
      </right>
      <top style="medium">
        <color auto="1"/>
      </top>
      <bottom style="thin">
        <color indexed="64"/>
      </bottom>
      <diagonal/>
    </border>
    <border>
      <left style="thin">
        <color auto="1"/>
      </left>
      <right style="thick">
        <color auto="1"/>
      </right>
      <top style="medium">
        <color auto="1"/>
      </top>
      <bottom style="thin">
        <color indexed="64"/>
      </bottom>
      <diagonal/>
    </border>
    <border>
      <left style="thick">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ck">
        <color auto="1"/>
      </right>
      <top style="thin">
        <color indexed="64"/>
      </top>
      <bottom style="thin">
        <color indexed="64"/>
      </bottom>
      <diagonal/>
    </border>
    <border>
      <left style="thick">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indexed="64"/>
      </left>
      <right style="thin">
        <color indexed="64"/>
      </right>
      <top style="thin">
        <color indexed="64"/>
      </top>
      <bottom style="thick">
        <color auto="1"/>
      </bottom>
      <diagonal/>
    </border>
    <border>
      <left style="thin">
        <color indexed="64"/>
      </left>
      <right style="thick">
        <color auto="1"/>
      </right>
      <top style="thin">
        <color indexed="64"/>
      </top>
      <bottom style="thick">
        <color auto="1"/>
      </bottom>
      <diagonal/>
    </border>
    <border>
      <left/>
      <right/>
      <top style="thick">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bottom style="thin">
        <color indexed="64"/>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ck">
        <color auto="1"/>
      </left>
      <right style="thin">
        <color auto="1"/>
      </right>
      <top style="thin">
        <color auto="1"/>
      </top>
      <bottom style="thin">
        <color auto="1"/>
      </bottom>
      <diagonal/>
    </border>
    <border>
      <left style="thin">
        <color indexed="64"/>
      </left>
      <right/>
      <top style="thin">
        <color indexed="64"/>
      </top>
      <bottom style="thick">
        <color auto="1"/>
      </bottom>
      <diagonal/>
    </border>
    <border>
      <left style="thick">
        <color auto="1"/>
      </left>
      <right style="thin">
        <color auto="1"/>
      </right>
      <top style="thin">
        <color auto="1"/>
      </top>
      <bottom style="thick">
        <color auto="1"/>
      </bottom>
      <diagonal/>
    </border>
    <border>
      <left style="thick">
        <color auto="1"/>
      </left>
      <right/>
      <top style="thick">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thin">
        <color auto="1"/>
      </top>
      <bottom style="thin">
        <color auto="1"/>
      </bottom>
      <diagonal/>
    </border>
    <border>
      <left style="hair">
        <color auto="1"/>
      </left>
      <right style="hair">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hair">
        <color auto="1"/>
      </right>
      <top/>
      <bottom style="thin">
        <color indexed="64"/>
      </bottom>
      <diagonal/>
    </border>
    <border>
      <left style="thin">
        <color auto="1"/>
      </left>
      <right style="hair">
        <color auto="1"/>
      </right>
      <top style="thin">
        <color auto="1"/>
      </top>
      <bottom style="thin">
        <color indexed="64"/>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right style="hair">
        <color auto="1"/>
      </right>
      <top style="thin">
        <color auto="1"/>
      </top>
      <bottom style="thin">
        <color indexed="64"/>
      </bottom>
      <diagonal/>
    </border>
    <border>
      <left/>
      <right style="hair">
        <color auto="1"/>
      </right>
      <top/>
      <bottom style="thin">
        <color indexed="64"/>
      </bottom>
      <diagonal/>
    </border>
    <border>
      <left style="hair">
        <color auto="1"/>
      </left>
      <right/>
      <top style="thin">
        <color auto="1"/>
      </top>
      <bottom style="thin">
        <color auto="1"/>
      </bottom>
      <diagonal/>
    </border>
    <border>
      <left style="hair">
        <color auto="1"/>
      </left>
      <right style="thin">
        <color auto="1"/>
      </right>
      <top style="thin">
        <color auto="1"/>
      </top>
      <bottom style="thin">
        <color indexed="64"/>
      </bottom>
      <diagonal/>
    </border>
    <border>
      <left style="hair">
        <color auto="1"/>
      </left>
      <right/>
      <top/>
      <bottom style="thin">
        <color auto="1"/>
      </bottom>
      <diagonal/>
    </border>
    <border>
      <left style="hair">
        <color auto="1"/>
      </left>
      <right style="thin">
        <color auto="1"/>
      </right>
      <top style="thin">
        <color auto="1"/>
      </top>
      <bottom/>
      <diagonal/>
    </border>
    <border>
      <left style="hair">
        <color auto="1"/>
      </left>
      <right style="thin">
        <color auto="1"/>
      </right>
      <top/>
      <bottom/>
      <diagonal/>
    </border>
    <border>
      <left style="thin">
        <color auto="1"/>
      </left>
      <right style="hair">
        <color auto="1"/>
      </right>
      <top style="thin">
        <color auto="1"/>
      </top>
      <bottom/>
      <diagonal/>
    </border>
    <border>
      <left style="thin">
        <color auto="1"/>
      </left>
      <right style="hair">
        <color auto="1"/>
      </right>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auto="1"/>
      </top>
      <bottom style="thin">
        <color indexed="64"/>
      </bottom>
      <diagonal/>
    </border>
    <border>
      <left style="medium">
        <color indexed="64"/>
      </left>
      <right/>
      <top style="thin">
        <color auto="1"/>
      </top>
      <bottom style="thin">
        <color auto="1"/>
      </bottom>
      <diagonal/>
    </border>
    <border>
      <left style="thin">
        <color auto="1"/>
      </left>
      <right/>
      <top style="thin">
        <color auto="1"/>
      </top>
      <bottom style="medium">
        <color indexed="64"/>
      </bottom>
      <diagonal/>
    </border>
    <border>
      <left/>
      <right/>
      <top/>
      <bottom style="medium">
        <color auto="1"/>
      </bottom>
      <diagonal/>
    </border>
    <border>
      <left style="medium">
        <color auto="1"/>
      </left>
      <right style="thin">
        <color auto="1"/>
      </right>
      <top style="thin">
        <color auto="1"/>
      </top>
      <bottom style="medium">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31" fillId="0" borderId="0">
      <alignment vertical="center"/>
    </xf>
    <xf numFmtId="38" fontId="31" fillId="0" borderId="0" applyFont="0" applyFill="0" applyBorder="0" applyAlignment="0" applyProtection="0">
      <alignment vertical="center"/>
    </xf>
    <xf numFmtId="0" fontId="31" fillId="0" borderId="0">
      <alignment vertical="center"/>
    </xf>
    <xf numFmtId="9" fontId="31" fillId="0" borderId="0" applyFont="0" applyFill="0" applyBorder="0" applyAlignment="0" applyProtection="0">
      <alignment vertical="center"/>
    </xf>
    <xf numFmtId="9" fontId="31" fillId="0" borderId="0" applyFont="0" applyFill="0" applyBorder="0" applyAlignment="0" applyProtection="0">
      <alignment vertical="center"/>
    </xf>
    <xf numFmtId="0" fontId="31" fillId="0" borderId="0" applyFont="0" applyFill="0" applyBorder="0" applyAlignment="0" applyProtection="0">
      <alignment vertical="center"/>
    </xf>
    <xf numFmtId="0" fontId="1" fillId="0" borderId="0">
      <alignment vertical="center"/>
    </xf>
  </cellStyleXfs>
  <cellXfs count="855">
    <xf numFmtId="0" fontId="0" fillId="0" borderId="0" xfId="0">
      <alignment vertical="center"/>
    </xf>
    <xf numFmtId="0" fontId="0" fillId="2" borderId="2" xfId="0" applyFill="1" applyBorder="1" applyAlignment="1">
      <alignment vertical="center" wrapText="1"/>
    </xf>
    <xf numFmtId="0" fontId="0" fillId="2" borderId="3" xfId="0" applyFill="1" applyBorder="1">
      <alignment vertical="center"/>
    </xf>
    <xf numFmtId="0" fontId="0" fillId="2" borderId="4" xfId="0" applyFill="1" applyBorder="1">
      <alignment vertical="center"/>
    </xf>
    <xf numFmtId="0" fontId="0" fillId="2" borderId="8" xfId="0" applyFill="1" applyBorder="1" applyAlignment="1">
      <alignment vertical="center" wrapText="1"/>
    </xf>
    <xf numFmtId="0" fontId="0" fillId="2" borderId="0" xfId="0" applyFill="1" applyBorder="1">
      <alignment vertical="center"/>
    </xf>
    <xf numFmtId="0" fontId="0" fillId="2" borderId="9" xfId="0" applyFill="1" applyBorder="1">
      <alignment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0" fillId="3" borderId="15" xfId="0" applyFont="1" applyFill="1" applyBorder="1">
      <alignment vertical="center"/>
    </xf>
    <xf numFmtId="38" fontId="10" fillId="3" borderId="15" xfId="1" applyFont="1" applyFill="1" applyBorder="1">
      <alignment vertical="center"/>
    </xf>
    <xf numFmtId="38" fontId="10" fillId="3" borderId="16" xfId="1" applyFont="1" applyFill="1" applyBorder="1">
      <alignment vertical="center"/>
    </xf>
    <xf numFmtId="0" fontId="10" fillId="0" borderId="20" xfId="0" applyFont="1" applyBorder="1">
      <alignment vertical="center"/>
    </xf>
    <xf numFmtId="38" fontId="10" fillId="0" borderId="20" xfId="1" applyFont="1" applyBorder="1">
      <alignment vertical="center"/>
    </xf>
    <xf numFmtId="38" fontId="10" fillId="0" borderId="21" xfId="1" applyFont="1" applyBorder="1">
      <alignment vertical="center"/>
    </xf>
    <xf numFmtId="0" fontId="0" fillId="0" borderId="0" xfId="0" applyAlignment="1">
      <alignment horizontal="center" vertical="center"/>
    </xf>
    <xf numFmtId="38" fontId="10" fillId="0" borderId="10" xfId="1" applyFont="1" applyBorder="1">
      <alignment vertical="center"/>
    </xf>
    <xf numFmtId="38" fontId="10" fillId="0" borderId="11" xfId="1" applyFont="1" applyBorder="1">
      <alignment vertical="center"/>
    </xf>
    <xf numFmtId="0" fontId="12" fillId="0" borderId="0" xfId="0" applyFont="1" applyAlignment="1">
      <alignment horizontal="right" vertical="center"/>
    </xf>
    <xf numFmtId="176" fontId="13" fillId="0" borderId="0" xfId="1" applyNumberFormat="1" applyFont="1">
      <alignment vertical="center"/>
    </xf>
    <xf numFmtId="38" fontId="13" fillId="0" borderId="0" xfId="0" applyNumberFormat="1" applyFont="1">
      <alignment vertical="center"/>
    </xf>
    <xf numFmtId="0" fontId="0" fillId="0" borderId="0" xfId="0" applyAlignment="1">
      <alignment horizontal="right" vertical="center"/>
    </xf>
    <xf numFmtId="176" fontId="14" fillId="0" borderId="0" xfId="1" applyNumberFormat="1" applyFont="1">
      <alignment vertical="center"/>
    </xf>
    <xf numFmtId="38" fontId="10" fillId="0" borderId="0" xfId="0" applyNumberFormat="1" applyFont="1">
      <alignment vertical="center"/>
    </xf>
    <xf numFmtId="0" fontId="0" fillId="0" borderId="0" xfId="0" applyAlignment="1">
      <alignment horizontal="right" vertical="center" wrapText="1"/>
    </xf>
    <xf numFmtId="0" fontId="10" fillId="0" borderId="10" xfId="0" applyFont="1" applyBorder="1">
      <alignment vertical="center"/>
    </xf>
    <xf numFmtId="0" fontId="11" fillId="3" borderId="13" xfId="0" applyFont="1" applyFill="1" applyBorder="1">
      <alignment vertical="center"/>
    </xf>
    <xf numFmtId="0" fontId="0" fillId="3" borderId="14" xfId="0" applyFill="1" applyBorder="1">
      <alignment vertical="center"/>
    </xf>
    <xf numFmtId="0" fontId="10" fillId="5" borderId="15" xfId="0" applyFont="1" applyFill="1" applyBorder="1">
      <alignment vertical="center"/>
    </xf>
    <xf numFmtId="38" fontId="10" fillId="5" borderId="15" xfId="1" applyFont="1" applyFill="1" applyBorder="1">
      <alignment vertical="center"/>
    </xf>
    <xf numFmtId="38" fontId="10" fillId="5" borderId="16" xfId="1" applyFont="1" applyFill="1" applyBorder="1">
      <alignment vertical="center"/>
    </xf>
    <xf numFmtId="0" fontId="10" fillId="4" borderId="20" xfId="0" applyFont="1" applyFill="1" applyBorder="1">
      <alignment vertical="center"/>
    </xf>
    <xf numFmtId="38" fontId="10" fillId="4" borderId="20" xfId="1" applyFont="1" applyFill="1" applyBorder="1">
      <alignment vertical="center"/>
    </xf>
    <xf numFmtId="38" fontId="10" fillId="4" borderId="21" xfId="1" applyFont="1" applyFill="1" applyBorder="1">
      <alignment vertical="center"/>
    </xf>
    <xf numFmtId="0" fontId="16" fillId="0" borderId="0" xfId="0" applyFont="1">
      <alignment vertical="center"/>
    </xf>
    <xf numFmtId="0" fontId="15" fillId="3" borderId="12" xfId="0" applyFont="1" applyFill="1" applyBorder="1" applyAlignment="1">
      <alignment vertical="center" wrapText="1"/>
    </xf>
    <xf numFmtId="0" fontId="9" fillId="3" borderId="13" xfId="0" applyFont="1" applyFill="1" applyBorder="1">
      <alignment vertical="center"/>
    </xf>
    <xf numFmtId="0" fontId="17" fillId="3" borderId="14" xfId="0" applyFont="1" applyFill="1" applyBorder="1">
      <alignment vertical="center"/>
    </xf>
    <xf numFmtId="0" fontId="9" fillId="3" borderId="15" xfId="0" applyFont="1" applyFill="1" applyBorder="1">
      <alignment vertical="center"/>
    </xf>
    <xf numFmtId="38" fontId="9" fillId="3" borderId="15" xfId="1" applyFont="1" applyFill="1" applyBorder="1">
      <alignment vertical="center"/>
    </xf>
    <xf numFmtId="38" fontId="9" fillId="3" borderId="16" xfId="1" applyFont="1" applyFill="1" applyBorder="1">
      <alignment vertical="center"/>
    </xf>
    <xf numFmtId="0" fontId="10" fillId="7" borderId="20" xfId="0" applyFont="1" applyFill="1" applyBorder="1">
      <alignment vertical="center"/>
    </xf>
    <xf numFmtId="38" fontId="10" fillId="7" borderId="20" xfId="1" applyFont="1" applyFill="1" applyBorder="1">
      <alignment vertical="center"/>
    </xf>
    <xf numFmtId="38" fontId="10" fillId="7" borderId="21" xfId="1" applyFont="1" applyFill="1" applyBorder="1">
      <alignment vertical="center"/>
    </xf>
    <xf numFmtId="38" fontId="0" fillId="0" borderId="0" xfId="1" applyFont="1">
      <alignment vertical="center"/>
    </xf>
    <xf numFmtId="3" fontId="0" fillId="0" borderId="0" xfId="0" applyNumberFormat="1">
      <alignment vertical="center"/>
    </xf>
    <xf numFmtId="3" fontId="0" fillId="0" borderId="0" xfId="0" applyNumberFormat="1" applyAlignment="1">
      <alignment horizontal="left" vertical="center"/>
    </xf>
    <xf numFmtId="0" fontId="10" fillId="8" borderId="20" xfId="0" applyFont="1" applyFill="1" applyBorder="1">
      <alignment vertical="center"/>
    </xf>
    <xf numFmtId="38" fontId="10" fillId="8" borderId="20" xfId="1" applyFont="1" applyFill="1" applyBorder="1">
      <alignment vertical="center"/>
    </xf>
    <xf numFmtId="38" fontId="10" fillId="8" borderId="21" xfId="1" applyFont="1" applyFill="1" applyBorder="1">
      <alignment vertical="center"/>
    </xf>
    <xf numFmtId="0" fontId="9" fillId="0" borderId="0" xfId="0" quotePrefix="1" applyFont="1" applyAlignment="1">
      <alignment horizontal="right" vertical="center"/>
    </xf>
    <xf numFmtId="0" fontId="10" fillId="0" borderId="28" xfId="0" applyFont="1" applyBorder="1">
      <alignment vertical="center"/>
    </xf>
    <xf numFmtId="38" fontId="10" fillId="0" borderId="28" xfId="1" applyFont="1" applyBorder="1">
      <alignment vertical="center"/>
    </xf>
    <xf numFmtId="38" fontId="10" fillId="0" borderId="28" xfId="0" applyNumberFormat="1" applyFont="1" applyBorder="1">
      <alignment vertical="center"/>
    </xf>
    <xf numFmtId="38" fontId="10" fillId="0" borderId="29" xfId="1" applyFont="1" applyBorder="1">
      <alignment vertical="center"/>
    </xf>
    <xf numFmtId="0" fontId="0" fillId="0" borderId="0" xfId="0" applyAlignment="1">
      <alignment vertical="center" wrapText="1"/>
    </xf>
    <xf numFmtId="0" fontId="10" fillId="2" borderId="2" xfId="0" applyFont="1" applyFill="1" applyBorder="1" applyAlignment="1">
      <alignment vertical="center" wrapText="1"/>
    </xf>
    <xf numFmtId="0" fontId="8" fillId="0" borderId="31" xfId="0" applyFont="1" applyBorder="1">
      <alignment vertical="center"/>
    </xf>
    <xf numFmtId="0" fontId="8" fillId="0" borderId="32" xfId="0" applyFont="1" applyBorder="1">
      <alignment vertical="center"/>
    </xf>
    <xf numFmtId="0" fontId="8" fillId="0" borderId="33" xfId="0" applyFont="1" applyBorder="1">
      <alignment vertical="center"/>
    </xf>
    <xf numFmtId="0" fontId="10" fillId="2" borderId="34" xfId="0" applyFont="1" applyFill="1" applyBorder="1" applyAlignment="1">
      <alignment vertical="center" wrapText="1"/>
    </xf>
    <xf numFmtId="0" fontId="0" fillId="2" borderId="35" xfId="0" applyFill="1" applyBorder="1">
      <alignment vertical="center"/>
    </xf>
    <xf numFmtId="0" fontId="0" fillId="2" borderId="36" xfId="0" applyFill="1" applyBorder="1">
      <alignment vertical="center"/>
    </xf>
    <xf numFmtId="0" fontId="8" fillId="0" borderId="20"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8" fillId="0" borderId="21" xfId="0" applyFont="1" applyBorder="1" applyAlignment="1">
      <alignment horizontal="center" vertical="center"/>
    </xf>
    <xf numFmtId="38" fontId="10" fillId="10" borderId="20" xfId="1" applyFont="1" applyFill="1" applyBorder="1">
      <alignment vertical="center"/>
    </xf>
    <xf numFmtId="38" fontId="9" fillId="10" borderId="20" xfId="1" applyFont="1" applyFill="1" applyBorder="1">
      <alignment vertical="center"/>
    </xf>
    <xf numFmtId="38" fontId="10" fillId="10" borderId="37" xfId="1" applyFont="1" applyFill="1" applyBorder="1">
      <alignment vertical="center"/>
    </xf>
    <xf numFmtId="38" fontId="10" fillId="10" borderId="38" xfId="1" applyFont="1" applyFill="1" applyBorder="1">
      <alignment vertical="center"/>
    </xf>
    <xf numFmtId="38" fontId="10" fillId="10" borderId="21" xfId="1" applyFont="1" applyFill="1" applyBorder="1">
      <alignment vertical="center"/>
    </xf>
    <xf numFmtId="0" fontId="11" fillId="2" borderId="17" xfId="0" applyFont="1" applyFill="1" applyBorder="1" applyAlignment="1">
      <alignment vertical="center"/>
    </xf>
    <xf numFmtId="0" fontId="0" fillId="2" borderId="18" xfId="0" applyFill="1" applyBorder="1">
      <alignment vertical="center"/>
    </xf>
    <xf numFmtId="0" fontId="0" fillId="2" borderId="19" xfId="0" applyFill="1" applyBorder="1">
      <alignment vertical="center"/>
    </xf>
    <xf numFmtId="38" fontId="10" fillId="0" borderId="37" xfId="1" applyFont="1" applyBorder="1">
      <alignment vertical="center"/>
    </xf>
    <xf numFmtId="38" fontId="10" fillId="0" borderId="38" xfId="1" applyFont="1" applyBorder="1">
      <alignment vertical="center"/>
    </xf>
    <xf numFmtId="0" fontId="11" fillId="2" borderId="17" xfId="0" applyFont="1" applyFill="1" applyBorder="1" applyAlignment="1">
      <alignment vertical="center" wrapText="1"/>
    </xf>
    <xf numFmtId="38" fontId="9" fillId="8" borderId="20" xfId="1" applyFont="1" applyFill="1" applyBorder="1">
      <alignment vertical="center"/>
    </xf>
    <xf numFmtId="38" fontId="10" fillId="8" borderId="37" xfId="1" applyFont="1" applyFill="1" applyBorder="1">
      <alignment vertical="center"/>
    </xf>
    <xf numFmtId="38" fontId="10" fillId="8" borderId="38" xfId="1" applyFont="1" applyFill="1" applyBorder="1">
      <alignment vertical="center"/>
    </xf>
    <xf numFmtId="0" fontId="11" fillId="2" borderId="25" xfId="0" applyFont="1" applyFill="1" applyBorder="1" applyAlignment="1">
      <alignment vertical="center" wrapText="1"/>
    </xf>
    <xf numFmtId="0" fontId="0" fillId="2" borderId="26" xfId="0" applyFill="1" applyBorder="1">
      <alignment vertical="center"/>
    </xf>
    <xf numFmtId="0" fontId="0" fillId="2" borderId="27" xfId="0" applyFill="1" applyBorder="1">
      <alignment vertical="center"/>
    </xf>
    <xf numFmtId="38" fontId="10" fillId="0" borderId="39" xfId="1" applyFont="1" applyBorder="1">
      <alignment vertical="center"/>
    </xf>
    <xf numFmtId="38" fontId="10" fillId="0" borderId="40" xfId="1" applyFont="1" applyBorder="1">
      <alignment vertical="center"/>
    </xf>
    <xf numFmtId="0" fontId="0" fillId="2" borderId="41" xfId="0" applyFill="1" applyBorder="1" applyAlignment="1">
      <alignment vertical="center" wrapText="1"/>
    </xf>
    <xf numFmtId="0" fontId="0" fillId="2" borderId="30" xfId="0" applyFill="1" applyBorder="1">
      <alignment vertical="center"/>
    </xf>
    <xf numFmtId="0" fontId="0" fillId="2" borderId="6" xfId="0" applyFill="1" applyBorder="1">
      <alignment vertical="center"/>
    </xf>
    <xf numFmtId="0" fontId="7" fillId="0" borderId="32" xfId="0" applyFont="1" applyBorder="1">
      <alignment vertical="center"/>
    </xf>
    <xf numFmtId="0" fontId="0" fillId="2" borderId="17" xfId="0" applyFill="1" applyBorder="1" applyAlignment="1">
      <alignment vertical="center" wrapText="1"/>
    </xf>
    <xf numFmtId="0" fontId="8" fillId="0" borderId="20" xfId="0" applyFont="1" applyBorder="1">
      <alignment vertical="center"/>
    </xf>
    <xf numFmtId="0" fontId="8" fillId="0" borderId="21" xfId="0" applyFont="1" applyBorder="1">
      <alignment vertical="center"/>
    </xf>
    <xf numFmtId="38" fontId="9" fillId="0" borderId="20" xfId="1" applyFont="1" applyBorder="1">
      <alignment vertical="center"/>
    </xf>
    <xf numFmtId="38" fontId="9" fillId="0" borderId="21" xfId="1" applyFont="1" applyBorder="1">
      <alignment vertical="center"/>
    </xf>
    <xf numFmtId="38" fontId="11" fillId="0" borderId="20" xfId="1" applyFont="1" applyBorder="1">
      <alignment vertical="center"/>
    </xf>
    <xf numFmtId="38" fontId="11" fillId="2" borderId="20" xfId="1" applyFont="1" applyFill="1" applyBorder="1">
      <alignment vertical="center"/>
    </xf>
    <xf numFmtId="38" fontId="11" fillId="0" borderId="21" xfId="1" applyFont="1" applyBorder="1">
      <alignment vertical="center"/>
    </xf>
    <xf numFmtId="0" fontId="0" fillId="2" borderId="0" xfId="0" applyFill="1">
      <alignment vertical="center"/>
    </xf>
    <xf numFmtId="38" fontId="0" fillId="2" borderId="0" xfId="1" applyFont="1" applyFill="1">
      <alignment vertical="center"/>
    </xf>
    <xf numFmtId="38" fontId="11" fillId="0" borderId="28" xfId="1" applyFont="1" applyBorder="1">
      <alignment vertical="center"/>
    </xf>
    <xf numFmtId="38" fontId="11" fillId="0" borderId="29" xfId="1" applyFont="1" applyBorder="1">
      <alignment vertical="center"/>
    </xf>
    <xf numFmtId="38" fontId="9" fillId="0" borderId="32" xfId="1" applyFont="1" applyBorder="1">
      <alignment vertical="center"/>
    </xf>
    <xf numFmtId="38" fontId="9" fillId="0" borderId="33" xfId="1" applyFont="1" applyBorder="1">
      <alignment vertical="center"/>
    </xf>
    <xf numFmtId="0" fontId="20"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right" vertical="center"/>
    </xf>
    <xf numFmtId="0" fontId="23" fillId="0" borderId="10" xfId="0" applyFont="1" applyBorder="1">
      <alignment vertical="center"/>
    </xf>
    <xf numFmtId="0" fontId="0" fillId="0" borderId="10" xfId="0" applyBorder="1" applyAlignment="1">
      <alignment horizontal="left" vertical="center"/>
    </xf>
    <xf numFmtId="0" fontId="24" fillId="0" borderId="42" xfId="0" applyFont="1" applyBorder="1">
      <alignment vertical="center"/>
    </xf>
    <xf numFmtId="0" fontId="0" fillId="0" borderId="10" xfId="0" applyBorder="1">
      <alignment vertical="center"/>
    </xf>
    <xf numFmtId="0" fontId="24" fillId="0" borderId="42" xfId="0" applyFont="1" applyBorder="1" applyAlignment="1">
      <alignment horizontal="left" vertical="center" wrapText="1"/>
    </xf>
    <xf numFmtId="0" fontId="0" fillId="0" borderId="42" xfId="0" applyBorder="1">
      <alignment vertical="center"/>
    </xf>
    <xf numFmtId="0" fontId="0" fillId="0" borderId="42" xfId="0" applyBorder="1" applyAlignment="1">
      <alignment horizontal="left" vertical="center"/>
    </xf>
    <xf numFmtId="0" fontId="24" fillId="0" borderId="42" xfId="0" applyFont="1" applyBorder="1" applyAlignment="1">
      <alignment vertical="center" wrapText="1"/>
    </xf>
    <xf numFmtId="0" fontId="25" fillId="0" borderId="0" xfId="0" applyFont="1" applyBorder="1" applyAlignment="1">
      <alignment horizontal="center" vertical="center" wrapText="1"/>
    </xf>
    <xf numFmtId="0" fontId="24" fillId="0" borderId="45" xfId="0" applyFont="1" applyBorder="1" applyAlignment="1">
      <alignment vertical="center" wrapText="1"/>
    </xf>
    <xf numFmtId="0" fontId="0" fillId="0" borderId="45" xfId="0" applyBorder="1">
      <alignment vertical="center"/>
    </xf>
    <xf numFmtId="0" fontId="25" fillId="0" borderId="46" xfId="0" applyFont="1" applyBorder="1" applyAlignment="1">
      <alignment horizontal="center" vertical="center" wrapText="1"/>
    </xf>
    <xf numFmtId="0" fontId="0" fillId="0" borderId="37" xfId="0" applyBorder="1">
      <alignment vertical="center"/>
    </xf>
    <xf numFmtId="0" fontId="0" fillId="0" borderId="20" xfId="0" applyBorder="1">
      <alignment vertical="center"/>
    </xf>
    <xf numFmtId="0" fontId="0" fillId="0" borderId="20" xfId="0" applyBorder="1" applyAlignment="1">
      <alignment vertical="center" wrapText="1"/>
    </xf>
    <xf numFmtId="0" fontId="23" fillId="0" borderId="20" xfId="0" applyFont="1" applyBorder="1" applyAlignment="1">
      <alignment horizontal="center" vertical="center"/>
    </xf>
    <xf numFmtId="0" fontId="23" fillId="0" borderId="20" xfId="0" applyFont="1" applyBorder="1" applyAlignment="1">
      <alignment horizontal="center" vertical="center" wrapText="1"/>
    </xf>
    <xf numFmtId="0" fontId="25" fillId="0" borderId="20" xfId="0" applyFont="1" applyBorder="1" applyAlignment="1">
      <alignment horizontal="center" vertical="center"/>
    </xf>
    <xf numFmtId="0" fontId="26" fillId="0" borderId="20" xfId="0" applyFont="1" applyFill="1" applyBorder="1" applyAlignment="1">
      <alignment horizontal="center" vertical="center"/>
    </xf>
    <xf numFmtId="0" fontId="25" fillId="0" borderId="20" xfId="0" applyFont="1" applyBorder="1" applyAlignment="1">
      <alignment horizontal="center" vertical="center" wrapText="1"/>
    </xf>
    <xf numFmtId="0" fontId="25" fillId="0" borderId="45" xfId="0" applyFont="1" applyBorder="1" applyAlignment="1">
      <alignment horizontal="center" vertical="center" wrapText="1"/>
    </xf>
    <xf numFmtId="0" fontId="28" fillId="0" borderId="46" xfId="0" applyFont="1" applyBorder="1" applyAlignment="1">
      <alignment horizontal="center" vertical="center" wrapText="1"/>
    </xf>
    <xf numFmtId="177" fontId="26" fillId="2" borderId="20" xfId="0" quotePrefix="1" applyNumberFormat="1" applyFont="1" applyFill="1" applyBorder="1" applyAlignment="1">
      <alignment horizontal="center" vertical="center"/>
    </xf>
    <xf numFmtId="0" fontId="26" fillId="0" borderId="37" xfId="0" applyFont="1" applyBorder="1" applyAlignment="1">
      <alignment vertical="center" wrapText="1"/>
    </xf>
    <xf numFmtId="0" fontId="29" fillId="0" borderId="20" xfId="0" applyFont="1" applyBorder="1" applyAlignment="1">
      <alignment horizontal="left" vertical="center" wrapText="1"/>
    </xf>
    <xf numFmtId="178" fontId="29" fillId="0" borderId="37" xfId="0" applyNumberFormat="1" applyFont="1" applyBorder="1" applyAlignment="1">
      <alignment horizontal="center" vertical="center" wrapText="1"/>
    </xf>
    <xf numFmtId="179" fontId="26" fillId="0" borderId="37" xfId="1" applyNumberFormat="1" applyFont="1" applyBorder="1" applyAlignment="1">
      <alignment vertical="center" wrapText="1"/>
    </xf>
    <xf numFmtId="180" fontId="26" fillId="0" borderId="37" xfId="2" applyNumberFormat="1" applyFont="1" applyBorder="1" applyAlignment="1">
      <alignment vertical="center" wrapText="1"/>
    </xf>
    <xf numFmtId="38" fontId="25" fillId="0" borderId="46" xfId="1" applyFont="1" applyBorder="1" applyAlignment="1">
      <alignment horizontal="center" vertical="center" wrapText="1"/>
    </xf>
    <xf numFmtId="0" fontId="25" fillId="0" borderId="45" xfId="0" applyFont="1" applyBorder="1" applyAlignment="1">
      <alignment horizontal="center" vertical="center"/>
    </xf>
    <xf numFmtId="0" fontId="26" fillId="0" borderId="45"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5" fillId="11" borderId="36" xfId="0" applyFont="1" applyFill="1" applyBorder="1" applyAlignment="1">
      <alignment horizontal="center" vertical="center" textRotation="255" wrapText="1"/>
    </xf>
    <xf numFmtId="181" fontId="30" fillId="0" borderId="45" xfId="3" applyNumberFormat="1" applyFont="1" applyFill="1" applyBorder="1" applyAlignment="1">
      <alignment horizontal="left" vertical="center" wrapText="1"/>
    </xf>
    <xf numFmtId="38" fontId="30" fillId="0" borderId="45" xfId="1" applyFont="1" applyFill="1" applyBorder="1" applyAlignment="1">
      <alignment horizontal="left" vertical="center" wrapText="1"/>
    </xf>
    <xf numFmtId="38" fontId="25" fillId="12" borderId="46" xfId="1" applyFont="1" applyFill="1" applyBorder="1" applyAlignment="1">
      <alignment horizontal="center" vertical="center" wrapText="1"/>
    </xf>
    <xf numFmtId="0" fontId="31" fillId="0" borderId="20" xfId="4" applyFont="1" applyFill="1" applyBorder="1" applyAlignment="1">
      <alignment vertical="center" wrapText="1"/>
    </xf>
    <xf numFmtId="177" fontId="32" fillId="0" borderId="20" xfId="0" quotePrefix="1" applyNumberFormat="1" applyFont="1" applyFill="1" applyBorder="1" applyAlignment="1">
      <alignment horizontal="center" vertical="center"/>
    </xf>
    <xf numFmtId="0" fontId="32" fillId="0" borderId="37" xfId="0" applyFont="1" applyFill="1" applyBorder="1" applyAlignment="1">
      <alignment vertical="center" wrapText="1"/>
    </xf>
    <xf numFmtId="0" fontId="33" fillId="0" borderId="20" xfId="0" applyFont="1" applyFill="1" applyBorder="1" applyAlignment="1">
      <alignment horizontal="left" vertical="center" wrapText="1"/>
    </xf>
    <xf numFmtId="178" fontId="33" fillId="0" borderId="37" xfId="0" applyNumberFormat="1" applyFont="1" applyFill="1" applyBorder="1" applyAlignment="1">
      <alignment horizontal="center" vertical="center" wrapText="1"/>
    </xf>
    <xf numFmtId="179" fontId="32" fillId="0" borderId="37" xfId="1" applyNumberFormat="1" applyFont="1" applyFill="1" applyBorder="1" applyAlignment="1">
      <alignment vertical="center" wrapText="1"/>
    </xf>
    <xf numFmtId="180" fontId="32" fillId="0" borderId="37" xfId="2" applyNumberFormat="1" applyFont="1" applyFill="1" applyBorder="1" applyAlignment="1">
      <alignment vertical="center" wrapText="1"/>
    </xf>
    <xf numFmtId="178" fontId="30" fillId="0" borderId="45" xfId="3" applyNumberFormat="1" applyFont="1" applyFill="1" applyBorder="1" applyAlignment="1">
      <alignment horizontal="left" vertical="center" wrapText="1"/>
    </xf>
    <xf numFmtId="0" fontId="25" fillId="13" borderId="46" xfId="0" applyFont="1" applyFill="1" applyBorder="1" applyAlignment="1">
      <alignment horizontal="center" vertical="center" wrapText="1"/>
    </xf>
    <xf numFmtId="0" fontId="0" fillId="13" borderId="20" xfId="0" applyFill="1" applyBorder="1">
      <alignment vertical="center"/>
    </xf>
    <xf numFmtId="0" fontId="31" fillId="13" borderId="20" xfId="4" applyFont="1" applyFill="1" applyBorder="1" applyAlignment="1">
      <alignment vertical="center" wrapText="1"/>
    </xf>
    <xf numFmtId="0" fontId="0" fillId="13" borderId="0" xfId="0" applyFill="1">
      <alignment vertical="center"/>
    </xf>
    <xf numFmtId="0" fontId="23" fillId="13" borderId="20" xfId="0" applyFont="1" applyFill="1" applyBorder="1" applyAlignment="1">
      <alignment horizontal="center" vertical="center"/>
    </xf>
    <xf numFmtId="0" fontId="23" fillId="13" borderId="20" xfId="0" applyFont="1" applyFill="1" applyBorder="1" applyAlignment="1">
      <alignment horizontal="center" vertical="center" wrapText="1"/>
    </xf>
    <xf numFmtId="0" fontId="25" fillId="13" borderId="20" xfId="0" applyFont="1" applyFill="1" applyBorder="1" applyAlignment="1">
      <alignment horizontal="center" vertical="center"/>
    </xf>
    <xf numFmtId="0" fontId="26" fillId="13" borderId="20" xfId="0" applyFont="1" applyFill="1" applyBorder="1" applyAlignment="1">
      <alignment horizontal="center" vertical="center"/>
    </xf>
    <xf numFmtId="0" fontId="25" fillId="13" borderId="20" xfId="0" applyFont="1" applyFill="1" applyBorder="1" applyAlignment="1">
      <alignment horizontal="center" vertical="center" wrapText="1"/>
    </xf>
    <xf numFmtId="0" fontId="25" fillId="13" borderId="45" xfId="0" applyFont="1" applyFill="1" applyBorder="1" applyAlignment="1">
      <alignment horizontal="center" vertical="center" wrapText="1"/>
    </xf>
    <xf numFmtId="0" fontId="28" fillId="13" borderId="46" xfId="0" applyFont="1" applyFill="1" applyBorder="1" applyAlignment="1">
      <alignment horizontal="center" vertical="center" wrapText="1"/>
    </xf>
    <xf numFmtId="177" fontId="26" fillId="13" borderId="20" xfId="0" quotePrefix="1" applyNumberFormat="1" applyFont="1" applyFill="1" applyBorder="1" applyAlignment="1">
      <alignment horizontal="center" vertical="center"/>
    </xf>
    <xf numFmtId="0" fontId="26" fillId="13" borderId="37" xfId="0" applyFont="1" applyFill="1" applyBorder="1" applyAlignment="1">
      <alignment vertical="center" wrapText="1"/>
    </xf>
    <xf numFmtId="0" fontId="29" fillId="13" borderId="20" xfId="0" applyFont="1" applyFill="1" applyBorder="1" applyAlignment="1">
      <alignment horizontal="left" vertical="center" wrapText="1"/>
    </xf>
    <xf numFmtId="178" fontId="29" fillId="13" borderId="37" xfId="0" applyNumberFormat="1" applyFont="1" applyFill="1" applyBorder="1" applyAlignment="1">
      <alignment horizontal="center" vertical="center" wrapText="1"/>
    </xf>
    <xf numFmtId="179" fontId="26" fillId="13" borderId="37" xfId="1" applyNumberFormat="1" applyFont="1" applyFill="1" applyBorder="1" applyAlignment="1">
      <alignment vertical="center" wrapText="1"/>
    </xf>
    <xf numFmtId="180" fontId="26" fillId="13" borderId="37" xfId="2" applyNumberFormat="1" applyFont="1" applyFill="1" applyBorder="1" applyAlignment="1">
      <alignment vertical="center" wrapText="1"/>
    </xf>
    <xf numFmtId="38" fontId="25" fillId="13" borderId="46" xfId="1" applyFont="1" applyFill="1" applyBorder="1" applyAlignment="1">
      <alignment horizontal="center" vertical="center" wrapText="1"/>
    </xf>
    <xf numFmtId="0" fontId="25" fillId="13" borderId="45" xfId="0" applyFont="1" applyFill="1" applyBorder="1" applyAlignment="1">
      <alignment horizontal="center" vertical="center"/>
    </xf>
    <xf numFmtId="0" fontId="26" fillId="13" borderId="45" xfId="0" applyFont="1" applyFill="1" applyBorder="1" applyAlignment="1">
      <alignment horizontal="center" vertical="center" wrapText="1"/>
    </xf>
    <xf numFmtId="0" fontId="26" fillId="13" borderId="20" xfId="0" applyFont="1" applyFill="1" applyBorder="1" applyAlignment="1">
      <alignment horizontal="center" vertical="center" wrapText="1"/>
    </xf>
    <xf numFmtId="0" fontId="0" fillId="13" borderId="45" xfId="0" applyFill="1" applyBorder="1">
      <alignment vertical="center"/>
    </xf>
    <xf numFmtId="0" fontId="25" fillId="13" borderId="36" xfId="0" applyFont="1" applyFill="1" applyBorder="1" applyAlignment="1">
      <alignment horizontal="center" vertical="center" textRotation="255" wrapText="1"/>
    </xf>
    <xf numFmtId="181" fontId="30" fillId="13" borderId="45" xfId="3" applyNumberFormat="1" applyFont="1" applyFill="1" applyBorder="1" applyAlignment="1">
      <alignment horizontal="left" vertical="center" wrapText="1"/>
    </xf>
    <xf numFmtId="38" fontId="30" fillId="13" borderId="45" xfId="1" applyFont="1" applyFill="1" applyBorder="1" applyAlignment="1">
      <alignment horizontal="left" vertical="center" wrapText="1"/>
    </xf>
    <xf numFmtId="0" fontId="35" fillId="0" borderId="37" xfId="4" applyFont="1" applyFill="1" applyBorder="1" applyAlignment="1">
      <alignment vertical="center" wrapText="1"/>
    </xf>
    <xf numFmtId="0" fontId="0" fillId="14" borderId="0" xfId="0" applyFill="1">
      <alignment vertical="center"/>
    </xf>
    <xf numFmtId="0" fontId="0" fillId="0" borderId="20" xfId="0" applyFill="1" applyBorder="1">
      <alignment vertical="center"/>
    </xf>
    <xf numFmtId="0" fontId="30" fillId="0" borderId="47" xfId="3" applyFont="1" applyBorder="1" applyAlignment="1">
      <alignment vertical="center" wrapText="1"/>
    </xf>
    <xf numFmtId="182" fontId="30" fillId="0" borderId="45" xfId="3" applyNumberFormat="1" applyFont="1" applyFill="1" applyBorder="1" applyAlignment="1">
      <alignment horizontal="left" vertical="center" wrapText="1"/>
    </xf>
    <xf numFmtId="0" fontId="25" fillId="7" borderId="46" xfId="0" applyFont="1" applyFill="1" applyBorder="1" applyAlignment="1">
      <alignment horizontal="center" vertical="center" wrapText="1"/>
    </xf>
    <xf numFmtId="0" fontId="0" fillId="7" borderId="20" xfId="0" applyFill="1" applyBorder="1">
      <alignment vertical="center"/>
    </xf>
    <xf numFmtId="0" fontId="0" fillId="7" borderId="20" xfId="0" applyFill="1" applyBorder="1" applyAlignment="1">
      <alignment vertical="center" wrapText="1"/>
    </xf>
    <xf numFmtId="0" fontId="0" fillId="7" borderId="0" xfId="0" applyFill="1">
      <alignment vertical="center"/>
    </xf>
    <xf numFmtId="0" fontId="23" fillId="7" borderId="20" xfId="0" applyFont="1" applyFill="1" applyBorder="1" applyAlignment="1">
      <alignment horizontal="center" vertical="center"/>
    </xf>
    <xf numFmtId="0" fontId="23" fillId="7" borderId="20" xfId="0" applyFont="1" applyFill="1" applyBorder="1" applyAlignment="1">
      <alignment horizontal="center" vertical="center" wrapText="1"/>
    </xf>
    <xf numFmtId="0" fontId="25" fillId="7" borderId="20" xfId="0" applyFont="1" applyFill="1" applyBorder="1" applyAlignment="1">
      <alignment horizontal="center" vertical="center"/>
    </xf>
    <xf numFmtId="0" fontId="26" fillId="7" borderId="20" xfId="0" applyFont="1" applyFill="1" applyBorder="1" applyAlignment="1">
      <alignment horizontal="center" vertical="center"/>
    </xf>
    <xf numFmtId="0" fontId="25" fillId="7" borderId="20" xfId="0" applyFont="1" applyFill="1" applyBorder="1" applyAlignment="1">
      <alignment horizontal="center" vertical="center" wrapText="1"/>
    </xf>
    <xf numFmtId="0" fontId="25" fillId="7" borderId="45" xfId="0" applyFont="1" applyFill="1" applyBorder="1" applyAlignment="1">
      <alignment horizontal="center" vertical="center" wrapText="1"/>
    </xf>
    <xf numFmtId="0" fontId="28" fillId="7" borderId="46" xfId="0" applyFont="1" applyFill="1" applyBorder="1" applyAlignment="1">
      <alignment horizontal="center" vertical="center" wrapText="1"/>
    </xf>
    <xf numFmtId="177" fontId="26" fillId="7" borderId="20" xfId="0" quotePrefix="1" applyNumberFormat="1" applyFont="1" applyFill="1" applyBorder="1" applyAlignment="1">
      <alignment horizontal="center" vertical="center"/>
    </xf>
    <xf numFmtId="0" fontId="26" fillId="7" borderId="37" xfId="0" applyFont="1" applyFill="1" applyBorder="1" applyAlignment="1">
      <alignment vertical="center" wrapText="1"/>
    </xf>
    <xf numFmtId="0" fontId="29" fillId="7" borderId="20" xfId="0" applyFont="1" applyFill="1" applyBorder="1" applyAlignment="1">
      <alignment horizontal="left" vertical="center" wrapText="1"/>
    </xf>
    <xf numFmtId="178" fontId="29" fillId="7" borderId="37" xfId="0" applyNumberFormat="1" applyFont="1" applyFill="1" applyBorder="1" applyAlignment="1">
      <alignment horizontal="center" vertical="center" wrapText="1"/>
    </xf>
    <xf numFmtId="179" fontId="26" fillId="7" borderId="37" xfId="1" applyNumberFormat="1" applyFont="1" applyFill="1" applyBorder="1" applyAlignment="1">
      <alignment vertical="center" wrapText="1"/>
    </xf>
    <xf numFmtId="180" fontId="26" fillId="7" borderId="37" xfId="2" applyNumberFormat="1" applyFont="1" applyFill="1" applyBorder="1" applyAlignment="1">
      <alignment vertical="center" wrapText="1"/>
    </xf>
    <xf numFmtId="38" fontId="25" fillId="7" borderId="46" xfId="1" applyFont="1" applyFill="1" applyBorder="1" applyAlignment="1">
      <alignment horizontal="center" vertical="center" wrapText="1"/>
    </xf>
    <xf numFmtId="0" fontId="25" fillId="7" borderId="45" xfId="0" applyFont="1" applyFill="1" applyBorder="1" applyAlignment="1">
      <alignment horizontal="center" vertical="center"/>
    </xf>
    <xf numFmtId="0" fontId="26" fillId="7" borderId="45" xfId="0" applyFont="1" applyFill="1" applyBorder="1" applyAlignment="1">
      <alignment horizontal="center" vertical="center" wrapText="1"/>
    </xf>
    <xf numFmtId="0" fontId="26" fillId="7" borderId="20" xfId="0" applyFont="1" applyFill="1" applyBorder="1" applyAlignment="1">
      <alignment horizontal="center" vertical="center" wrapText="1"/>
    </xf>
    <xf numFmtId="0" fontId="0" fillId="7" borderId="45" xfId="0" applyFill="1" applyBorder="1">
      <alignment vertical="center"/>
    </xf>
    <xf numFmtId="0" fontId="25" fillId="7" borderId="36" xfId="0" applyFont="1" applyFill="1" applyBorder="1" applyAlignment="1">
      <alignment horizontal="center" vertical="center" textRotation="255" wrapText="1"/>
    </xf>
    <xf numFmtId="181" fontId="30" fillId="7" borderId="45" xfId="3" applyNumberFormat="1" applyFont="1" applyFill="1" applyBorder="1" applyAlignment="1">
      <alignment horizontal="left" vertical="center" wrapText="1"/>
    </xf>
    <xf numFmtId="38" fontId="30" fillId="7" borderId="45" xfId="1" applyFont="1" applyFill="1" applyBorder="1" applyAlignment="1">
      <alignment horizontal="left" vertical="center" wrapText="1"/>
    </xf>
    <xf numFmtId="0" fontId="35" fillId="0" borderId="20" xfId="4" applyFont="1" applyFill="1" applyBorder="1" applyAlignment="1">
      <alignment horizontal="center" vertical="center" wrapText="1"/>
    </xf>
    <xf numFmtId="0" fontId="36" fillId="0" borderId="20" xfId="4" applyFont="1" applyFill="1" applyBorder="1" applyAlignment="1">
      <alignment vertical="center" wrapText="1"/>
    </xf>
    <xf numFmtId="0" fontId="30" fillId="0" borderId="20" xfId="3" applyFont="1" applyFill="1" applyBorder="1" applyAlignment="1">
      <alignment horizontal="left" vertical="center" wrapText="1"/>
    </xf>
    <xf numFmtId="0" fontId="36" fillId="13" borderId="20" xfId="4" applyFont="1" applyFill="1" applyBorder="1" applyAlignment="1">
      <alignment vertical="center" wrapText="1"/>
    </xf>
    <xf numFmtId="177" fontId="26" fillId="0" borderId="20" xfId="0" quotePrefix="1" applyNumberFormat="1" applyFont="1" applyFill="1" applyBorder="1" applyAlignment="1">
      <alignment horizontal="center" vertical="center"/>
    </xf>
    <xf numFmtId="0" fontId="26" fillId="0" borderId="37" xfId="0" applyFont="1" applyFill="1" applyBorder="1" applyAlignment="1">
      <alignment vertical="center" wrapText="1"/>
    </xf>
    <xf numFmtId="0" fontId="29" fillId="0" borderId="20" xfId="0" applyFont="1" applyFill="1" applyBorder="1" applyAlignment="1">
      <alignment horizontal="left" vertical="center" wrapText="1"/>
    </xf>
    <xf numFmtId="178" fontId="29" fillId="0" borderId="37" xfId="0" applyNumberFormat="1" applyFont="1" applyFill="1" applyBorder="1" applyAlignment="1">
      <alignment horizontal="center" vertical="center" wrapText="1"/>
    </xf>
    <xf numFmtId="179" fontId="26" fillId="0" borderId="37" xfId="1" applyNumberFormat="1" applyFont="1" applyFill="1" applyBorder="1" applyAlignment="1">
      <alignment vertical="center" wrapText="1"/>
    </xf>
    <xf numFmtId="180" fontId="26" fillId="0" borderId="37" xfId="2" applyNumberFormat="1" applyFont="1" applyFill="1" applyBorder="1" applyAlignment="1">
      <alignment vertical="center" wrapText="1"/>
    </xf>
    <xf numFmtId="0" fontId="31" fillId="0" borderId="37" xfId="4" applyFont="1" applyFill="1" applyBorder="1" applyAlignment="1">
      <alignment vertical="center" wrapText="1"/>
    </xf>
    <xf numFmtId="0" fontId="30" fillId="0" borderId="20" xfId="3" applyFont="1" applyBorder="1" applyAlignment="1">
      <alignment vertical="center" wrapText="1"/>
    </xf>
    <xf numFmtId="0" fontId="25" fillId="0" borderId="37" xfId="0" applyFont="1" applyBorder="1" applyAlignment="1">
      <alignment horizontal="center" vertical="center" wrapText="1"/>
    </xf>
    <xf numFmtId="0" fontId="17" fillId="0" borderId="37" xfId="0" applyFont="1" applyBorder="1" applyAlignment="1">
      <alignment horizontal="center" vertical="center" wrapText="1"/>
    </xf>
    <xf numFmtId="0" fontId="37" fillId="13" borderId="20" xfId="0" applyFont="1" applyFill="1" applyBorder="1">
      <alignment vertical="center"/>
    </xf>
    <xf numFmtId="0" fontId="17" fillId="0" borderId="20" xfId="0" applyFont="1" applyBorder="1" applyAlignment="1">
      <alignment horizontal="center" vertical="center" wrapText="1"/>
    </xf>
    <xf numFmtId="0" fontId="31" fillId="0" borderId="20" xfId="3" applyFont="1" applyFill="1" applyBorder="1" applyAlignment="1">
      <alignment vertical="center" wrapText="1"/>
    </xf>
    <xf numFmtId="0" fontId="31" fillId="7" borderId="20" xfId="4" applyFont="1" applyFill="1" applyBorder="1" applyAlignment="1">
      <alignment vertical="center" wrapText="1"/>
    </xf>
    <xf numFmtId="182" fontId="30" fillId="7" borderId="45" xfId="3" applyNumberFormat="1" applyFont="1" applyFill="1" applyBorder="1" applyAlignment="1">
      <alignment horizontal="left" vertical="center" wrapText="1"/>
    </xf>
    <xf numFmtId="182" fontId="30" fillId="13" borderId="45" xfId="3" applyNumberFormat="1" applyFont="1" applyFill="1" applyBorder="1" applyAlignment="1">
      <alignment horizontal="left" vertical="center" wrapText="1"/>
    </xf>
    <xf numFmtId="0" fontId="31" fillId="2" borderId="20" xfId="4" applyFont="1" applyFill="1" applyBorder="1" applyAlignment="1">
      <alignment vertical="center" wrapText="1"/>
    </xf>
    <xf numFmtId="38" fontId="39" fillId="12" borderId="46" xfId="1" applyFont="1" applyFill="1" applyBorder="1" applyAlignment="1">
      <alignment horizontal="center" vertical="center" wrapText="1"/>
    </xf>
    <xf numFmtId="38" fontId="39" fillId="13" borderId="46" xfId="1" applyFont="1" applyFill="1" applyBorder="1" applyAlignment="1">
      <alignment horizontal="center" vertical="center" wrapText="1"/>
    </xf>
    <xf numFmtId="181" fontId="30" fillId="0" borderId="44" xfId="3" applyNumberFormat="1" applyFont="1" applyFill="1" applyBorder="1" applyAlignment="1">
      <alignment horizontal="left" vertical="center" wrapText="1"/>
    </xf>
    <xf numFmtId="0" fontId="0" fillId="7" borderId="10" xfId="0" applyFill="1" applyBorder="1">
      <alignment vertical="center"/>
    </xf>
    <xf numFmtId="181" fontId="30" fillId="7" borderId="36" xfId="3" applyNumberFormat="1" applyFont="1" applyFill="1" applyBorder="1" applyAlignment="1">
      <alignment horizontal="left" vertical="center" wrapText="1"/>
    </xf>
    <xf numFmtId="181" fontId="30" fillId="0" borderId="36" xfId="3" applyNumberFormat="1" applyFont="1" applyFill="1" applyBorder="1" applyAlignment="1">
      <alignment horizontal="left" vertical="center" wrapText="1"/>
    </xf>
    <xf numFmtId="181" fontId="30" fillId="13" borderId="36" xfId="3" applyNumberFormat="1" applyFont="1" applyFill="1" applyBorder="1" applyAlignment="1">
      <alignment horizontal="left" vertical="center" wrapText="1"/>
    </xf>
    <xf numFmtId="0" fontId="0" fillId="13" borderId="20" xfId="0" applyFill="1" applyBorder="1" applyAlignment="1">
      <alignment vertical="center" wrapText="1"/>
    </xf>
    <xf numFmtId="0" fontId="42" fillId="15" borderId="20" xfId="0" applyFont="1" applyFill="1" applyBorder="1">
      <alignment vertical="center"/>
    </xf>
    <xf numFmtId="0" fontId="23" fillId="14" borderId="20" xfId="0" applyFont="1" applyFill="1" applyBorder="1" applyAlignment="1">
      <alignment horizontal="center" vertical="center"/>
    </xf>
    <xf numFmtId="0" fontId="23" fillId="14" borderId="20" xfId="0" applyFont="1" applyFill="1" applyBorder="1" applyAlignment="1">
      <alignment horizontal="center" vertical="center" wrapText="1"/>
    </xf>
    <xf numFmtId="0" fontId="26" fillId="0" borderId="20" xfId="0" applyFont="1" applyBorder="1" applyAlignment="1">
      <alignment horizontal="center" vertical="center"/>
    </xf>
    <xf numFmtId="0" fontId="26" fillId="0" borderId="20" xfId="0" applyFont="1" applyBorder="1" applyAlignment="1">
      <alignment horizontal="center" vertical="center" wrapText="1"/>
    </xf>
    <xf numFmtId="0" fontId="8" fillId="2" borderId="20" xfId="0" applyFont="1" applyFill="1" applyBorder="1" applyAlignment="1">
      <alignment horizontal="center" vertical="center"/>
    </xf>
    <xf numFmtId="38" fontId="24" fillId="0" borderId="37" xfId="1" applyFont="1" applyBorder="1" applyAlignment="1">
      <alignment horizontal="center" vertical="center"/>
    </xf>
    <xf numFmtId="38" fontId="44" fillId="0" borderId="37" xfId="1" quotePrefix="1" applyFont="1" applyBorder="1" applyAlignment="1">
      <alignment horizontal="right" vertical="center"/>
    </xf>
    <xf numFmtId="180" fontId="23" fillId="0" borderId="20" xfId="2" applyNumberFormat="1" applyFont="1" applyBorder="1" applyAlignment="1">
      <alignment horizontal="right" vertical="center"/>
    </xf>
    <xf numFmtId="180" fontId="24" fillId="0" borderId="20" xfId="2" applyNumberFormat="1" applyFont="1" applyBorder="1" applyAlignment="1">
      <alignment horizontal="center" vertical="center" wrapText="1"/>
    </xf>
    <xf numFmtId="0" fontId="45" fillId="0" borderId="20" xfId="0" applyFont="1" applyBorder="1" applyAlignment="1">
      <alignment horizontal="center" vertical="center"/>
    </xf>
    <xf numFmtId="0" fontId="8" fillId="0" borderId="20" xfId="0" applyFont="1" applyBorder="1" applyAlignment="1">
      <alignment horizontal="center" vertical="center" wrapText="1"/>
    </xf>
    <xf numFmtId="0" fontId="28" fillId="0" borderId="20" xfId="0" applyFont="1" applyBorder="1" applyAlignment="1">
      <alignment horizontal="center" vertical="center" wrapText="1"/>
    </xf>
    <xf numFmtId="38" fontId="24" fillId="0" borderId="37" xfId="1" applyFont="1" applyBorder="1" applyAlignment="1">
      <alignment horizontal="right" vertical="center"/>
    </xf>
    <xf numFmtId="38" fontId="44" fillId="0" borderId="37" xfId="1" applyFont="1" applyBorder="1" applyAlignment="1">
      <alignment horizontal="right" vertical="center"/>
    </xf>
    <xf numFmtId="38" fontId="23" fillId="0" borderId="20" xfId="1" applyFont="1" applyBorder="1" applyAlignment="1">
      <alignment horizontal="center" vertical="center"/>
    </xf>
    <xf numFmtId="0" fontId="35" fillId="0" borderId="20" xfId="4" applyFont="1" applyFill="1" applyBorder="1" applyAlignment="1">
      <alignment vertical="center" wrapText="1"/>
    </xf>
    <xf numFmtId="0" fontId="26" fillId="0" borderId="48" xfId="0" applyFont="1" applyBorder="1" applyAlignment="1">
      <alignment horizontal="center" vertical="center"/>
    </xf>
    <xf numFmtId="0" fontId="26" fillId="0" borderId="48" xfId="0" applyFont="1" applyBorder="1" applyAlignment="1">
      <alignment horizontal="center" vertical="center" wrapText="1"/>
    </xf>
    <xf numFmtId="0" fontId="8" fillId="2" borderId="37" xfId="0" applyFont="1" applyFill="1" applyBorder="1" applyAlignment="1">
      <alignment horizontal="center" vertical="center"/>
    </xf>
    <xf numFmtId="38" fontId="39" fillId="2" borderId="46" xfId="1" applyFont="1" applyFill="1" applyBorder="1" applyAlignment="1">
      <alignment horizontal="center" vertical="center" wrapText="1"/>
    </xf>
    <xf numFmtId="38" fontId="39" fillId="7" borderId="46" xfId="1" applyFont="1" applyFill="1" applyBorder="1" applyAlignment="1">
      <alignment horizontal="center" vertical="center" wrapText="1"/>
    </xf>
    <xf numFmtId="0" fontId="37" fillId="0" borderId="20" xfId="0" applyFont="1" applyBorder="1">
      <alignment vertical="center"/>
    </xf>
    <xf numFmtId="0" fontId="37" fillId="0" borderId="20" xfId="0" applyFont="1" applyBorder="1" applyAlignment="1">
      <alignment vertical="center" wrapText="1"/>
    </xf>
    <xf numFmtId="0" fontId="23" fillId="0" borderId="20" xfId="0" applyNumberFormat="1" applyFont="1" applyBorder="1" applyAlignment="1">
      <alignment horizontal="center" vertical="center" wrapText="1"/>
    </xf>
    <xf numFmtId="0" fontId="45" fillId="0" borderId="20" xfId="0" applyFont="1" applyBorder="1" applyAlignment="1">
      <alignment horizontal="center" vertical="center" wrapText="1"/>
    </xf>
    <xf numFmtId="0" fontId="26" fillId="0" borderId="20" xfId="0" applyFont="1" applyBorder="1" applyAlignment="1">
      <alignment horizontal="left" vertical="center" wrapText="1"/>
    </xf>
    <xf numFmtId="183" fontId="26" fillId="0" borderId="37" xfId="0" applyNumberFormat="1" applyFont="1" applyBorder="1" applyAlignment="1">
      <alignment horizontal="center" vertical="center" wrapText="1"/>
    </xf>
    <xf numFmtId="0" fontId="29" fillId="0" borderId="37" xfId="0" applyFont="1" applyBorder="1" applyAlignment="1">
      <alignment vertical="center" wrapText="1"/>
    </xf>
    <xf numFmtId="178" fontId="26" fillId="0" borderId="37" xfId="0" applyNumberFormat="1" applyFont="1" applyBorder="1" applyAlignment="1">
      <alignment horizontal="center" vertical="center" wrapText="1"/>
    </xf>
    <xf numFmtId="38" fontId="24" fillId="0" borderId="37" xfId="1" applyFont="1" applyBorder="1" applyAlignment="1">
      <alignment vertical="center"/>
    </xf>
    <xf numFmtId="38" fontId="24" fillId="0" borderId="37" xfId="1" applyFont="1" applyBorder="1" applyAlignment="1">
      <alignment horizontal="center" vertical="center" wrapText="1"/>
    </xf>
    <xf numFmtId="180" fontId="24" fillId="0" borderId="20" xfId="2" applyNumberFormat="1" applyFont="1" applyBorder="1" applyAlignment="1">
      <alignment vertical="center"/>
    </xf>
    <xf numFmtId="179" fontId="26" fillId="0" borderId="37" xfId="1" applyNumberFormat="1" applyFont="1" applyBorder="1" applyAlignment="1">
      <alignment vertical="center"/>
    </xf>
    <xf numFmtId="0" fontId="23" fillId="7" borderId="20" xfId="0" applyNumberFormat="1" applyFont="1" applyFill="1" applyBorder="1" applyAlignment="1">
      <alignment horizontal="center" vertical="center" wrapText="1"/>
    </xf>
    <xf numFmtId="0" fontId="45" fillId="7" borderId="20" xfId="0" applyFont="1" applyFill="1" applyBorder="1" applyAlignment="1">
      <alignment horizontal="center" vertical="center" wrapText="1"/>
    </xf>
    <xf numFmtId="0" fontId="26" fillId="7" borderId="20" xfId="0" applyFont="1" applyFill="1" applyBorder="1" applyAlignment="1">
      <alignment horizontal="left" vertical="center" wrapText="1"/>
    </xf>
    <xf numFmtId="183" fontId="26" fillId="7" borderId="37" xfId="0" applyNumberFormat="1" applyFont="1" applyFill="1" applyBorder="1" applyAlignment="1">
      <alignment horizontal="center" vertical="center" wrapText="1"/>
    </xf>
    <xf numFmtId="0" fontId="29" fillId="7" borderId="37" xfId="0" applyFont="1" applyFill="1" applyBorder="1" applyAlignment="1">
      <alignment vertical="center" wrapText="1"/>
    </xf>
    <xf numFmtId="178" fontId="26" fillId="7" borderId="37" xfId="0" applyNumberFormat="1" applyFont="1" applyFill="1" applyBorder="1" applyAlignment="1">
      <alignment horizontal="center" vertical="center" wrapText="1"/>
    </xf>
    <xf numFmtId="38" fontId="24" fillId="7" borderId="37" xfId="1" applyFont="1" applyFill="1" applyBorder="1" applyAlignment="1">
      <alignment vertical="center"/>
    </xf>
    <xf numFmtId="38" fontId="24" fillId="7" borderId="37" xfId="1" applyFont="1" applyFill="1" applyBorder="1" applyAlignment="1">
      <alignment horizontal="center" vertical="center" wrapText="1"/>
    </xf>
    <xf numFmtId="180" fontId="24" fillId="7" borderId="20" xfId="2" applyNumberFormat="1" applyFont="1" applyFill="1" applyBorder="1" applyAlignment="1">
      <alignment vertical="center"/>
    </xf>
    <xf numFmtId="179" fontId="26" fillId="7" borderId="37" xfId="1" applyNumberFormat="1" applyFont="1" applyFill="1" applyBorder="1" applyAlignment="1">
      <alignment vertical="center"/>
    </xf>
    <xf numFmtId="0" fontId="46" fillId="0" borderId="20" xfId="0" applyFont="1" applyFill="1" applyBorder="1">
      <alignment vertical="center"/>
    </xf>
    <xf numFmtId="0" fontId="47" fillId="0" borderId="20" xfId="4" applyFont="1" applyFill="1" applyBorder="1" applyAlignment="1">
      <alignment vertical="center" wrapText="1"/>
    </xf>
    <xf numFmtId="38" fontId="44" fillId="12" borderId="37" xfId="1" applyFont="1" applyFill="1" applyBorder="1" applyAlignment="1">
      <alignment horizontal="center" vertical="center" wrapText="1"/>
    </xf>
    <xf numFmtId="0" fontId="23" fillId="13" borderId="20" xfId="0" applyNumberFormat="1" applyFont="1" applyFill="1" applyBorder="1" applyAlignment="1">
      <alignment horizontal="center" vertical="center" wrapText="1"/>
    </xf>
    <xf numFmtId="0" fontId="45" fillId="13" borderId="20" xfId="0" applyFont="1" applyFill="1" applyBorder="1" applyAlignment="1">
      <alignment horizontal="center" vertical="center" wrapText="1"/>
    </xf>
    <xf numFmtId="0" fontId="26" fillId="13" borderId="20" xfId="0" applyFont="1" applyFill="1" applyBorder="1" applyAlignment="1">
      <alignment horizontal="left" vertical="center" wrapText="1"/>
    </xf>
    <xf numFmtId="183" fontId="26" fillId="13" borderId="37" xfId="0" applyNumberFormat="1" applyFont="1" applyFill="1" applyBorder="1" applyAlignment="1">
      <alignment horizontal="center" vertical="center" wrapText="1"/>
    </xf>
    <xf numFmtId="0" fontId="29" fillId="13" borderId="37" xfId="0" applyFont="1" applyFill="1" applyBorder="1" applyAlignment="1">
      <alignment vertical="center" wrapText="1"/>
    </xf>
    <xf numFmtId="178" fontId="26" fillId="13" borderId="37" xfId="0" applyNumberFormat="1" applyFont="1" applyFill="1" applyBorder="1" applyAlignment="1">
      <alignment horizontal="center" vertical="center" wrapText="1"/>
    </xf>
    <xf numFmtId="38" fontId="24" fillId="13" borderId="37" xfId="1" applyFont="1" applyFill="1" applyBorder="1" applyAlignment="1">
      <alignment vertical="center"/>
    </xf>
    <xf numFmtId="38" fontId="24" fillId="13" borderId="37" xfId="1" applyFont="1" applyFill="1" applyBorder="1" applyAlignment="1">
      <alignment horizontal="center" vertical="center" wrapText="1"/>
    </xf>
    <xf numFmtId="180" fontId="24" fillId="13" borderId="20" xfId="2" applyNumberFormat="1" applyFont="1" applyFill="1" applyBorder="1" applyAlignment="1">
      <alignment vertical="center"/>
    </xf>
    <xf numFmtId="0" fontId="25" fillId="0" borderId="20" xfId="0" applyFont="1" applyFill="1" applyBorder="1" applyAlignment="1">
      <alignment horizontal="center" vertical="center" wrapText="1"/>
    </xf>
    <xf numFmtId="38" fontId="24" fillId="12" borderId="37" xfId="1" applyFont="1" applyFill="1" applyBorder="1" applyAlignment="1">
      <alignment horizontal="center" vertical="center" wrapText="1"/>
    </xf>
    <xf numFmtId="0" fontId="0" fillId="16" borderId="20" xfId="0" applyFill="1" applyBorder="1">
      <alignment vertical="center"/>
    </xf>
    <xf numFmtId="0" fontId="23" fillId="16" borderId="20" xfId="0" applyFont="1" applyFill="1" applyBorder="1" applyAlignment="1">
      <alignment horizontal="center" vertical="center"/>
    </xf>
    <xf numFmtId="0" fontId="23" fillId="16" borderId="20" xfId="0" applyNumberFormat="1" applyFont="1" applyFill="1" applyBorder="1" applyAlignment="1">
      <alignment horizontal="center" vertical="center" wrapText="1"/>
    </xf>
    <xf numFmtId="0" fontId="45" fillId="16" borderId="20" xfId="0" applyFont="1" applyFill="1" applyBorder="1" applyAlignment="1">
      <alignment horizontal="center" vertical="center" wrapText="1"/>
    </xf>
    <xf numFmtId="0" fontId="26" fillId="16" borderId="20" xfId="0" applyFont="1" applyFill="1" applyBorder="1" applyAlignment="1">
      <alignment horizontal="center" vertical="center"/>
    </xf>
    <xf numFmtId="0" fontId="26" fillId="16" borderId="20" xfId="0" applyFont="1" applyFill="1" applyBorder="1" applyAlignment="1">
      <alignment horizontal="center" vertical="center" wrapText="1"/>
    </xf>
    <xf numFmtId="0" fontId="26" fillId="16" borderId="20" xfId="0" applyFont="1" applyFill="1" applyBorder="1" applyAlignment="1">
      <alignment horizontal="left" vertical="center" wrapText="1"/>
    </xf>
    <xf numFmtId="0" fontId="25" fillId="16" borderId="45" xfId="0" applyFont="1" applyFill="1" applyBorder="1" applyAlignment="1">
      <alignment horizontal="center" vertical="center" wrapText="1"/>
    </xf>
    <xf numFmtId="0" fontId="28" fillId="16" borderId="46" xfId="0" applyFont="1" applyFill="1" applyBorder="1" applyAlignment="1">
      <alignment horizontal="center" vertical="center" wrapText="1"/>
    </xf>
    <xf numFmtId="0" fontId="25" fillId="16" borderId="20" xfId="0" applyFont="1" applyFill="1" applyBorder="1" applyAlignment="1">
      <alignment horizontal="center" vertical="center" wrapText="1"/>
    </xf>
    <xf numFmtId="183" fontId="26" fillId="16" borderId="37" xfId="0" applyNumberFormat="1" applyFont="1" applyFill="1" applyBorder="1" applyAlignment="1">
      <alignment horizontal="center" vertical="center" wrapText="1"/>
    </xf>
    <xf numFmtId="0" fontId="26" fillId="16" borderId="37" xfId="0" applyFont="1" applyFill="1" applyBorder="1" applyAlignment="1">
      <alignment vertical="center" wrapText="1"/>
    </xf>
    <xf numFmtId="0" fontId="29" fillId="16" borderId="37" xfId="0" applyFont="1" applyFill="1" applyBorder="1" applyAlignment="1">
      <alignment vertical="center" wrapText="1"/>
    </xf>
    <xf numFmtId="178" fontId="26" fillId="16" borderId="37" xfId="0" applyNumberFormat="1" applyFont="1" applyFill="1" applyBorder="1" applyAlignment="1">
      <alignment horizontal="center" vertical="center" wrapText="1"/>
    </xf>
    <xf numFmtId="179" fontId="26" fillId="16" borderId="37" xfId="1" applyNumberFormat="1" applyFont="1" applyFill="1" applyBorder="1" applyAlignment="1">
      <alignment vertical="center" wrapText="1"/>
    </xf>
    <xf numFmtId="180" fontId="26" fillId="16" borderId="37" xfId="2" applyNumberFormat="1" applyFont="1" applyFill="1" applyBorder="1" applyAlignment="1">
      <alignment vertical="center" wrapText="1"/>
    </xf>
    <xf numFmtId="38" fontId="24" fillId="16" borderId="37" xfId="1" applyFont="1" applyFill="1" applyBorder="1" applyAlignment="1">
      <alignment vertical="center"/>
    </xf>
    <xf numFmtId="38" fontId="24" fillId="16" borderId="37" xfId="1" applyFont="1" applyFill="1" applyBorder="1" applyAlignment="1">
      <alignment horizontal="center" vertical="center" wrapText="1"/>
    </xf>
    <xf numFmtId="180" fontId="24" fillId="16" borderId="20" xfId="2" applyNumberFormat="1" applyFont="1" applyFill="1" applyBorder="1" applyAlignment="1">
      <alignment vertical="center"/>
    </xf>
    <xf numFmtId="0" fontId="0" fillId="16" borderId="45" xfId="0" applyFill="1" applyBorder="1">
      <alignment vertical="center"/>
    </xf>
    <xf numFmtId="0" fontId="25" fillId="16" borderId="36" xfId="0" applyFont="1" applyFill="1" applyBorder="1" applyAlignment="1">
      <alignment horizontal="center" vertical="center" textRotation="255" wrapText="1"/>
    </xf>
    <xf numFmtId="0" fontId="0" fillId="16" borderId="0" xfId="0" applyFill="1">
      <alignment vertical="center"/>
    </xf>
    <xf numFmtId="181" fontId="30" fillId="16" borderId="36" xfId="3" applyNumberFormat="1" applyFont="1" applyFill="1" applyBorder="1" applyAlignment="1">
      <alignment horizontal="left" vertical="center" wrapText="1"/>
    </xf>
    <xf numFmtId="181" fontId="30" fillId="16" borderId="45" xfId="3" applyNumberFormat="1" applyFont="1" applyFill="1" applyBorder="1" applyAlignment="1">
      <alignment horizontal="left" vertical="center" wrapText="1"/>
    </xf>
    <xf numFmtId="182" fontId="30" fillId="16" borderId="45" xfId="3" applyNumberFormat="1" applyFont="1" applyFill="1" applyBorder="1" applyAlignment="1">
      <alignment horizontal="left" vertical="center" wrapText="1"/>
    </xf>
    <xf numFmtId="38" fontId="30" fillId="16" borderId="45" xfId="1" applyFont="1" applyFill="1" applyBorder="1" applyAlignment="1">
      <alignment horizontal="left" vertical="center" wrapText="1"/>
    </xf>
    <xf numFmtId="0" fontId="48" fillId="0" borderId="20" xfId="4" applyFont="1" applyFill="1" applyBorder="1" applyAlignment="1">
      <alignment vertical="center" wrapText="1"/>
    </xf>
    <xf numFmtId="0" fontId="30" fillId="17" borderId="47" xfId="3" applyFont="1" applyFill="1" applyBorder="1" applyAlignment="1">
      <alignment vertical="center" wrapText="1"/>
    </xf>
    <xf numFmtId="0" fontId="49" fillId="11" borderId="49" xfId="0" applyFont="1" applyFill="1" applyBorder="1" applyAlignment="1">
      <alignment horizontal="center" vertical="center"/>
    </xf>
    <xf numFmtId="184" fontId="26" fillId="0" borderId="37" xfId="0" applyNumberFormat="1" applyFont="1" applyBorder="1" applyAlignment="1">
      <alignment horizontal="center" vertical="center" wrapText="1"/>
    </xf>
    <xf numFmtId="178" fontId="24" fillId="0" borderId="37" xfId="0" applyNumberFormat="1" applyFont="1" applyBorder="1" applyAlignment="1">
      <alignment horizontal="center" vertical="center" wrapText="1"/>
    </xf>
    <xf numFmtId="180" fontId="0" fillId="0" borderId="20" xfId="2" applyNumberFormat="1" applyFont="1" applyBorder="1">
      <alignment vertical="center"/>
    </xf>
    <xf numFmtId="38" fontId="24" fillId="0" borderId="20" xfId="1" applyFont="1" applyBorder="1" applyAlignment="1">
      <alignment horizontal="center" vertical="center"/>
    </xf>
    <xf numFmtId="180" fontId="24" fillId="0" borderId="20" xfId="2" applyNumberFormat="1" applyFont="1" applyBorder="1" applyAlignment="1">
      <alignment horizontal="center" vertical="center"/>
    </xf>
    <xf numFmtId="0" fontId="7" fillId="0" borderId="20" xfId="0" applyFont="1" applyBorder="1" applyAlignment="1">
      <alignment horizontal="center" vertical="center"/>
    </xf>
    <xf numFmtId="0" fontId="49" fillId="7" borderId="49" xfId="0" applyFont="1" applyFill="1" applyBorder="1" applyAlignment="1">
      <alignment horizontal="center" vertical="center"/>
    </xf>
    <xf numFmtId="184" fontId="26" fillId="7" borderId="37" xfId="0" applyNumberFormat="1" applyFont="1" applyFill="1" applyBorder="1" applyAlignment="1">
      <alignment horizontal="center" vertical="center" wrapText="1"/>
    </xf>
    <xf numFmtId="178" fontId="24" fillId="7" borderId="37" xfId="0" applyNumberFormat="1" applyFont="1" applyFill="1" applyBorder="1" applyAlignment="1">
      <alignment horizontal="center" vertical="center" wrapText="1"/>
    </xf>
    <xf numFmtId="38" fontId="24" fillId="7" borderId="37" xfId="1" applyFont="1" applyFill="1" applyBorder="1" applyAlignment="1">
      <alignment horizontal="center" vertical="center"/>
    </xf>
    <xf numFmtId="180" fontId="0" fillId="7" borderId="20" xfId="2" applyNumberFormat="1" applyFont="1" applyFill="1" applyBorder="1">
      <alignment vertical="center"/>
    </xf>
    <xf numFmtId="38" fontId="23" fillId="7" borderId="20" xfId="1" applyFont="1" applyFill="1" applyBorder="1" applyAlignment="1">
      <alignment horizontal="center" vertical="center"/>
    </xf>
    <xf numFmtId="180" fontId="24" fillId="7" borderId="20" xfId="2" applyNumberFormat="1" applyFont="1" applyFill="1" applyBorder="1" applyAlignment="1">
      <alignment horizontal="center" vertical="center"/>
    </xf>
    <xf numFmtId="0" fontId="8" fillId="7" borderId="20" xfId="0" applyFont="1" applyFill="1" applyBorder="1" applyAlignment="1">
      <alignment horizontal="center" vertical="center"/>
    </xf>
    <xf numFmtId="0" fontId="35" fillId="0" borderId="20" xfId="0" applyFont="1" applyBorder="1" applyAlignment="1">
      <alignment vertical="center" wrapText="1"/>
    </xf>
    <xf numFmtId="0" fontId="49" fillId="13" borderId="49" xfId="0" applyFont="1" applyFill="1" applyBorder="1" applyAlignment="1">
      <alignment horizontal="center" vertical="center"/>
    </xf>
    <xf numFmtId="184" fontId="26" fillId="13" borderId="37" xfId="0" applyNumberFormat="1" applyFont="1" applyFill="1" applyBorder="1" applyAlignment="1">
      <alignment horizontal="center" vertical="center" wrapText="1"/>
    </xf>
    <xf numFmtId="178" fontId="24" fillId="13" borderId="37" xfId="0" applyNumberFormat="1" applyFont="1" applyFill="1" applyBorder="1" applyAlignment="1">
      <alignment horizontal="center" vertical="center" wrapText="1"/>
    </xf>
    <xf numFmtId="38" fontId="24" fillId="13" borderId="37" xfId="1" applyFont="1" applyFill="1" applyBorder="1" applyAlignment="1">
      <alignment horizontal="center" vertical="center"/>
    </xf>
    <xf numFmtId="180" fontId="0" fillId="13" borderId="20" xfId="2" applyNumberFormat="1" applyFont="1" applyFill="1" applyBorder="1">
      <alignment vertical="center"/>
    </xf>
    <xf numFmtId="38" fontId="23" fillId="13" borderId="20" xfId="1" applyFont="1" applyFill="1" applyBorder="1" applyAlignment="1">
      <alignment horizontal="center" vertical="center"/>
    </xf>
    <xf numFmtId="0" fontId="30" fillId="13" borderId="20" xfId="0" applyFont="1" applyFill="1" applyBorder="1" applyAlignment="1">
      <alignment horizontal="center" vertical="center" wrapText="1"/>
    </xf>
    <xf numFmtId="0" fontId="8" fillId="13" borderId="20" xfId="0" applyFont="1" applyFill="1" applyBorder="1" applyAlignment="1">
      <alignment horizontal="center" vertical="center"/>
    </xf>
    <xf numFmtId="0" fontId="30" fillId="0" borderId="20" xfId="0" applyFont="1" applyBorder="1" applyAlignment="1">
      <alignment vertical="center" wrapText="1"/>
    </xf>
    <xf numFmtId="0" fontId="30" fillId="7" borderId="20" xfId="0" applyFont="1" applyFill="1" applyBorder="1" applyAlignment="1">
      <alignment vertical="center" wrapText="1"/>
    </xf>
    <xf numFmtId="0" fontId="30" fillId="7" borderId="20" xfId="0" applyFont="1" applyFill="1" applyBorder="1" applyAlignment="1">
      <alignment horizontal="center" vertical="center" wrapText="1"/>
    </xf>
    <xf numFmtId="0" fontId="50" fillId="0" borderId="20" xfId="0" applyFont="1" applyBorder="1" applyAlignment="1">
      <alignment horizontal="center" vertical="center" wrapText="1"/>
    </xf>
    <xf numFmtId="0" fontId="23" fillId="0" borderId="47" xfId="0" applyFont="1" applyBorder="1" applyAlignment="1">
      <alignment horizontal="center" vertical="center"/>
    </xf>
    <xf numFmtId="49" fontId="26" fillId="0" borderId="37" xfId="0" applyNumberFormat="1" applyFont="1" applyBorder="1" applyAlignment="1">
      <alignment horizontal="center" vertical="center" wrapText="1"/>
    </xf>
    <xf numFmtId="0" fontId="8" fillId="0" borderId="37" xfId="0" applyFont="1" applyBorder="1" applyAlignment="1">
      <alignment vertical="center" wrapText="1"/>
    </xf>
    <xf numFmtId="38" fontId="8" fillId="0" borderId="37" xfId="1" applyFont="1" applyBorder="1" applyAlignment="1">
      <alignment horizontal="center" vertical="center"/>
    </xf>
    <xf numFmtId="0" fontId="23" fillId="13" borderId="47" xfId="0" applyFont="1" applyFill="1" applyBorder="1" applyAlignment="1">
      <alignment horizontal="center" vertical="center"/>
    </xf>
    <xf numFmtId="0" fontId="45" fillId="13" borderId="20" xfId="0" applyFont="1" applyFill="1" applyBorder="1" applyAlignment="1">
      <alignment horizontal="center" vertical="center"/>
    </xf>
    <xf numFmtId="185" fontId="26" fillId="13" borderId="37" xfId="0" applyNumberFormat="1" applyFont="1" applyFill="1" applyBorder="1" applyAlignment="1">
      <alignment horizontal="center" vertical="center" wrapText="1"/>
    </xf>
    <xf numFmtId="0" fontId="8" fillId="13" borderId="37" xfId="0" applyFont="1" applyFill="1" applyBorder="1" applyAlignment="1">
      <alignment vertical="center" wrapText="1"/>
    </xf>
    <xf numFmtId="38" fontId="8" fillId="13" borderId="37" xfId="1" applyFont="1" applyFill="1" applyBorder="1" applyAlignment="1">
      <alignment horizontal="center" vertical="center"/>
    </xf>
    <xf numFmtId="180" fontId="24" fillId="13" borderId="20" xfId="1" applyNumberFormat="1" applyFont="1" applyFill="1" applyBorder="1" applyAlignment="1">
      <alignment horizontal="center" vertical="center"/>
    </xf>
    <xf numFmtId="38" fontId="24" fillId="13" borderId="20" xfId="1" applyFont="1" applyFill="1" applyBorder="1" applyAlignment="1">
      <alignment horizontal="center" vertical="center"/>
    </xf>
    <xf numFmtId="180" fontId="24" fillId="13" borderId="20" xfId="2" applyNumberFormat="1" applyFont="1" applyFill="1" applyBorder="1" applyAlignment="1">
      <alignment horizontal="center" vertical="center" wrapText="1"/>
    </xf>
    <xf numFmtId="0" fontId="25" fillId="13" borderId="20" xfId="0" applyFont="1" applyFill="1" applyBorder="1" applyAlignment="1">
      <alignment horizontal="center" vertical="center" textRotation="255" wrapText="1"/>
    </xf>
    <xf numFmtId="0" fontId="23" fillId="7" borderId="47" xfId="0" applyFont="1" applyFill="1" applyBorder="1" applyAlignment="1">
      <alignment horizontal="center" vertical="center"/>
    </xf>
    <xf numFmtId="0" fontId="45" fillId="7" borderId="20" xfId="0" applyFont="1" applyFill="1" applyBorder="1" applyAlignment="1">
      <alignment horizontal="center" vertical="center"/>
    </xf>
    <xf numFmtId="185" fontId="26" fillId="7" borderId="37" xfId="0" applyNumberFormat="1" applyFont="1" applyFill="1" applyBorder="1" applyAlignment="1">
      <alignment horizontal="center" vertical="center" wrapText="1"/>
    </xf>
    <xf numFmtId="0" fontId="8" fillId="7" borderId="37" xfId="0" applyFont="1" applyFill="1" applyBorder="1" applyAlignment="1">
      <alignment vertical="center" wrapText="1"/>
    </xf>
    <xf numFmtId="38" fontId="8" fillId="7" borderId="37" xfId="1" applyFont="1" applyFill="1" applyBorder="1" applyAlignment="1">
      <alignment horizontal="center" vertical="center"/>
    </xf>
    <xf numFmtId="180" fontId="24" fillId="7" borderId="20" xfId="1" applyNumberFormat="1" applyFont="1" applyFill="1" applyBorder="1" applyAlignment="1">
      <alignment horizontal="center" vertical="center"/>
    </xf>
    <xf numFmtId="180" fontId="24" fillId="7" borderId="20" xfId="2" applyNumberFormat="1" applyFont="1" applyFill="1" applyBorder="1" applyAlignment="1">
      <alignment horizontal="center" vertical="center" wrapText="1"/>
    </xf>
    <xf numFmtId="0" fontId="25" fillId="7" borderId="20" xfId="0" applyFont="1" applyFill="1" applyBorder="1" applyAlignment="1">
      <alignment horizontal="center" vertical="center" textRotation="255" wrapText="1"/>
    </xf>
    <xf numFmtId="0" fontId="23" fillId="0" borderId="47" xfId="0" applyFont="1" applyFill="1" applyBorder="1" applyAlignment="1">
      <alignment horizontal="center" vertical="center"/>
    </xf>
    <xf numFmtId="0" fontId="23" fillId="0" borderId="20" xfId="0" applyFont="1" applyFill="1" applyBorder="1" applyAlignment="1">
      <alignment horizontal="center" vertical="center" wrapText="1"/>
    </xf>
    <xf numFmtId="0" fontId="45" fillId="0" borderId="20" xfId="0" applyFont="1" applyFill="1" applyBorder="1" applyAlignment="1">
      <alignment horizontal="center" vertical="center"/>
    </xf>
    <xf numFmtId="185" fontId="26" fillId="0" borderId="37" xfId="0" applyNumberFormat="1" applyFont="1" applyFill="1" applyBorder="1" applyAlignment="1">
      <alignment horizontal="center" vertical="center" wrapText="1"/>
    </xf>
    <xf numFmtId="0" fontId="30" fillId="0" borderId="20" xfId="0" applyFont="1" applyFill="1" applyBorder="1" applyAlignment="1">
      <alignment vertical="center" wrapText="1"/>
    </xf>
    <xf numFmtId="0" fontId="29" fillId="0" borderId="37" xfId="0" applyFont="1" applyFill="1" applyBorder="1" applyAlignment="1">
      <alignment vertical="center" wrapText="1"/>
    </xf>
    <xf numFmtId="178" fontId="24" fillId="0" borderId="37" xfId="0" applyNumberFormat="1" applyFont="1" applyFill="1" applyBorder="1" applyAlignment="1">
      <alignment horizontal="center" vertical="center" wrapText="1"/>
    </xf>
    <xf numFmtId="38" fontId="8" fillId="0" borderId="37" xfId="1" applyFont="1" applyFill="1" applyBorder="1" applyAlignment="1">
      <alignment horizontal="center" vertical="center"/>
    </xf>
    <xf numFmtId="180" fontId="24" fillId="0" borderId="20" xfId="1" applyNumberFormat="1" applyFont="1" applyFill="1" applyBorder="1" applyAlignment="1">
      <alignment horizontal="center" vertical="center"/>
    </xf>
    <xf numFmtId="38" fontId="23" fillId="0" borderId="20" xfId="1" applyFont="1" applyFill="1" applyBorder="1" applyAlignment="1">
      <alignment horizontal="center" vertical="center"/>
    </xf>
    <xf numFmtId="180" fontId="24" fillId="0" borderId="20" xfId="2" applyNumberFormat="1" applyFont="1" applyFill="1" applyBorder="1" applyAlignment="1">
      <alignment horizontal="center" vertical="center" wrapText="1"/>
    </xf>
    <xf numFmtId="0" fontId="25" fillId="11" borderId="20" xfId="0" applyFont="1" applyFill="1" applyBorder="1" applyAlignment="1">
      <alignment horizontal="center" vertical="center" textRotation="255" wrapText="1"/>
    </xf>
    <xf numFmtId="185" fontId="26" fillId="0" borderId="37" xfId="0" applyNumberFormat="1" applyFont="1" applyBorder="1" applyAlignment="1">
      <alignment horizontal="center" vertical="center" wrapText="1"/>
    </xf>
    <xf numFmtId="180" fontId="24" fillId="0" borderId="20" xfId="1" applyNumberFormat="1" applyFont="1" applyBorder="1" applyAlignment="1">
      <alignment horizontal="center" vertical="center"/>
    </xf>
    <xf numFmtId="186" fontId="51" fillId="12" borderId="20" xfId="1" applyNumberFormat="1" applyFont="1" applyFill="1" applyBorder="1" applyAlignment="1">
      <alignment horizontal="right" vertical="center" wrapText="1"/>
    </xf>
    <xf numFmtId="180" fontId="24" fillId="7" borderId="20" xfId="2" applyNumberFormat="1" applyFont="1" applyFill="1" applyBorder="1" applyAlignment="1">
      <alignment horizontal="left" vertical="center" wrapText="1"/>
    </xf>
    <xf numFmtId="0" fontId="36" fillId="7" borderId="20" xfId="4" applyFont="1" applyFill="1" applyBorder="1" applyAlignment="1">
      <alignment vertical="center" wrapText="1"/>
    </xf>
    <xf numFmtId="0" fontId="45" fillId="7" borderId="50" xfId="0" applyFont="1" applyFill="1" applyBorder="1" applyAlignment="1">
      <alignment horizontal="center" vertical="center"/>
    </xf>
    <xf numFmtId="0" fontId="26" fillId="7" borderId="50" xfId="0" applyFont="1" applyFill="1" applyBorder="1" applyAlignment="1">
      <alignment horizontal="center" vertical="center"/>
    </xf>
    <xf numFmtId="0" fontId="26" fillId="7" borderId="50" xfId="0" applyFont="1" applyFill="1" applyBorder="1" applyAlignment="1">
      <alignment horizontal="center" vertical="center" wrapText="1"/>
    </xf>
    <xf numFmtId="0" fontId="26" fillId="7" borderId="48" xfId="0" applyFont="1" applyFill="1" applyBorder="1" applyAlignment="1">
      <alignment horizontal="center" vertical="center" wrapText="1"/>
    </xf>
    <xf numFmtId="0" fontId="8" fillId="7" borderId="51" xfId="0" applyFont="1" applyFill="1" applyBorder="1" applyAlignment="1">
      <alignment horizontal="center" vertical="center"/>
    </xf>
    <xf numFmtId="0" fontId="8" fillId="7" borderId="51" xfId="0" applyFont="1" applyFill="1" applyBorder="1" applyAlignment="1">
      <alignment vertical="center" wrapText="1"/>
    </xf>
    <xf numFmtId="0" fontId="29" fillId="7" borderId="51" xfId="0" applyFont="1" applyFill="1" applyBorder="1" applyAlignment="1">
      <alignment vertical="center" wrapText="1"/>
    </xf>
    <xf numFmtId="179" fontId="26" fillId="7" borderId="51" xfId="1" applyNumberFormat="1" applyFont="1" applyFill="1" applyBorder="1" applyAlignment="1">
      <alignment vertical="center" wrapText="1"/>
    </xf>
    <xf numFmtId="180" fontId="26" fillId="7" borderId="51" xfId="2" applyNumberFormat="1" applyFont="1" applyFill="1" applyBorder="1" applyAlignment="1">
      <alignment vertical="center" wrapText="1"/>
    </xf>
    <xf numFmtId="0" fontId="26" fillId="7" borderId="51" xfId="0" applyFont="1" applyFill="1" applyBorder="1" applyAlignment="1">
      <alignment vertical="center" wrapText="1"/>
    </xf>
    <xf numFmtId="38" fontId="8" fillId="7" borderId="51" xfId="1" applyFont="1" applyFill="1" applyBorder="1" applyAlignment="1">
      <alignment horizontal="center" vertical="center"/>
    </xf>
    <xf numFmtId="38" fontId="51" fillId="7" borderId="51" xfId="1" applyFont="1" applyFill="1" applyBorder="1" applyAlignment="1">
      <alignment horizontal="center" vertical="center"/>
    </xf>
    <xf numFmtId="180" fontId="24" fillId="7" borderId="45" xfId="1" applyNumberFormat="1" applyFont="1" applyFill="1" applyBorder="1" applyAlignment="1">
      <alignment horizontal="center" vertical="center"/>
    </xf>
    <xf numFmtId="38" fontId="23" fillId="7" borderId="52" xfId="1" applyFont="1" applyFill="1" applyBorder="1" applyAlignment="1">
      <alignment horizontal="center" vertical="center"/>
    </xf>
    <xf numFmtId="180" fontId="24" fillId="7" borderId="52" xfId="2" applyNumberFormat="1" applyFont="1" applyFill="1" applyBorder="1" applyAlignment="1">
      <alignment horizontal="center" vertical="center" wrapText="1"/>
    </xf>
    <xf numFmtId="0" fontId="45" fillId="7" borderId="52" xfId="0" applyFont="1" applyFill="1" applyBorder="1" applyAlignment="1">
      <alignment horizontal="center" vertical="center"/>
    </xf>
    <xf numFmtId="0" fontId="28" fillId="13" borderId="37" xfId="0" applyFont="1" applyFill="1" applyBorder="1" applyAlignment="1">
      <alignment horizontal="center" vertical="center" wrapText="1"/>
    </xf>
    <xf numFmtId="0" fontId="26" fillId="7" borderId="37" xfId="0" quotePrefix="1" applyFont="1" applyFill="1" applyBorder="1" applyAlignment="1">
      <alignment horizontal="center" vertical="center" wrapText="1"/>
    </xf>
    <xf numFmtId="38" fontId="30" fillId="7" borderId="20" xfId="5" applyFont="1" applyFill="1" applyBorder="1" applyAlignment="1">
      <alignment horizontal="right" vertical="center" wrapText="1"/>
    </xf>
    <xf numFmtId="0" fontId="26" fillId="7" borderId="20" xfId="0" applyFont="1" applyFill="1" applyBorder="1" applyAlignment="1">
      <alignment horizontal="left" vertical="center"/>
    </xf>
    <xf numFmtId="0" fontId="49" fillId="7" borderId="20" xfId="0" applyFont="1" applyFill="1" applyBorder="1" applyAlignment="1">
      <alignment horizontal="center" vertical="center"/>
    </xf>
    <xf numFmtId="0" fontId="0" fillId="7" borderId="20" xfId="0" applyFont="1" applyFill="1" applyBorder="1" applyAlignment="1">
      <alignment horizontal="center" vertical="center"/>
    </xf>
    <xf numFmtId="38" fontId="30" fillId="7" borderId="20" xfId="5" applyFont="1" applyFill="1" applyBorder="1" applyAlignment="1">
      <alignment vertical="center" wrapText="1"/>
    </xf>
    <xf numFmtId="0" fontId="26" fillId="0" borderId="37" xfId="0" quotePrefix="1" applyFont="1" applyFill="1" applyBorder="1" applyAlignment="1">
      <alignment horizontal="center" vertical="center" wrapText="1"/>
    </xf>
    <xf numFmtId="38" fontId="30" fillId="0" borderId="20" xfId="5" applyFont="1" applyFill="1" applyBorder="1" applyAlignment="1">
      <alignment horizontal="right" vertical="center" wrapText="1"/>
    </xf>
    <xf numFmtId="0" fontId="26" fillId="0" borderId="20" xfId="0" applyFont="1" applyBorder="1" applyAlignment="1">
      <alignment horizontal="left" vertical="center"/>
    </xf>
    <xf numFmtId="0" fontId="49" fillId="11" borderId="20" xfId="0" applyFont="1" applyFill="1" applyBorder="1" applyAlignment="1">
      <alignment horizontal="center" vertical="center"/>
    </xf>
    <xf numFmtId="0" fontId="0" fillId="11" borderId="20" xfId="0" applyFont="1" applyFill="1" applyBorder="1" applyAlignment="1">
      <alignment horizontal="center" vertical="center"/>
    </xf>
    <xf numFmtId="38" fontId="44" fillId="12" borderId="37" xfId="1" applyFont="1" applyFill="1" applyBorder="1" applyAlignment="1">
      <alignment horizontal="center" vertical="center"/>
    </xf>
    <xf numFmtId="38" fontId="30" fillId="7" borderId="20" xfId="5" applyFont="1" applyFill="1" applyBorder="1" applyAlignment="1">
      <alignment horizontal="right" vertical="center"/>
    </xf>
    <xf numFmtId="0" fontId="26" fillId="0" borderId="37" xfId="0" quotePrefix="1" applyFont="1" applyBorder="1" applyAlignment="1">
      <alignment horizontal="center" vertical="center" wrapText="1"/>
    </xf>
    <xf numFmtId="38" fontId="30" fillId="0" borderId="20" xfId="5" applyFont="1" applyFill="1" applyBorder="1" applyAlignment="1">
      <alignment horizontal="right" vertical="center"/>
    </xf>
    <xf numFmtId="0" fontId="0" fillId="0" borderId="20" xfId="0" applyFill="1" applyBorder="1" applyAlignment="1">
      <alignment vertical="center" wrapText="1"/>
    </xf>
    <xf numFmtId="38" fontId="44" fillId="2" borderId="37" xfId="1" applyFont="1" applyFill="1" applyBorder="1" applyAlignment="1">
      <alignment horizontal="center" vertical="center"/>
    </xf>
    <xf numFmtId="38" fontId="44" fillId="0" borderId="37" xfId="1" applyFont="1" applyBorder="1" applyAlignment="1">
      <alignment horizontal="center" vertical="center"/>
    </xf>
    <xf numFmtId="38" fontId="30" fillId="7" borderId="20" xfId="5" applyFont="1" applyFill="1" applyBorder="1">
      <alignment vertical="center"/>
    </xf>
    <xf numFmtId="0" fontId="52" fillId="0" borderId="20" xfId="6" applyFont="1" applyFill="1" applyBorder="1" applyAlignment="1">
      <alignment horizontal="center" vertical="center" wrapText="1"/>
    </xf>
    <xf numFmtId="0" fontId="8" fillId="0" borderId="20" xfId="0" applyFont="1" applyBorder="1" applyAlignment="1">
      <alignment horizontal="left" vertical="center"/>
    </xf>
    <xf numFmtId="0" fontId="30" fillId="0" borderId="20" xfId="6" applyFont="1" applyFill="1" applyBorder="1" applyAlignment="1">
      <alignment horizontal="center" vertical="center" wrapText="1"/>
    </xf>
    <xf numFmtId="0" fontId="30" fillId="0" borderId="20" xfId="6" applyFont="1" applyFill="1" applyBorder="1" applyAlignment="1">
      <alignment vertical="center" wrapText="1"/>
    </xf>
    <xf numFmtId="0" fontId="28" fillId="0" borderId="53" xfId="0" applyFont="1" applyBorder="1" applyAlignment="1">
      <alignment horizontal="center" vertical="center" wrapText="1"/>
    </xf>
    <xf numFmtId="49" fontId="49" fillId="0" borderId="20" xfId="0" applyNumberFormat="1" applyFont="1" applyBorder="1" applyAlignment="1">
      <alignment horizontal="center" vertical="center"/>
    </xf>
    <xf numFmtId="0" fontId="53" fillId="0" borderId="20" xfId="4" applyFont="1" applyFill="1" applyBorder="1" applyAlignment="1">
      <alignment horizontal="left" vertical="center" wrapText="1"/>
    </xf>
    <xf numFmtId="58" fontId="54" fillId="0" borderId="20" xfId="6" applyNumberFormat="1" applyFont="1" applyFill="1" applyBorder="1" applyAlignment="1">
      <alignment horizontal="center" vertical="center" wrapText="1"/>
    </xf>
    <xf numFmtId="0" fontId="35" fillId="0" borderId="20" xfId="6" applyFont="1" applyFill="1" applyBorder="1" applyAlignment="1">
      <alignment horizontal="left" vertical="center" wrapText="1"/>
    </xf>
    <xf numFmtId="38" fontId="30" fillId="0" borderId="20" xfId="5" applyFont="1" applyFill="1" applyBorder="1" applyAlignment="1">
      <alignment vertical="center" wrapText="1"/>
    </xf>
    <xf numFmtId="180" fontId="30" fillId="0" borderId="20" xfId="7" applyNumberFormat="1" applyFont="1" applyFill="1" applyBorder="1" applyAlignment="1">
      <alignment vertical="center" wrapText="1"/>
    </xf>
    <xf numFmtId="38" fontId="30" fillId="0" borderId="20" xfId="5" applyFont="1" applyFill="1" applyBorder="1" applyAlignment="1">
      <alignment horizontal="center" vertical="center" wrapText="1"/>
    </xf>
    <xf numFmtId="0" fontId="30" fillId="0" borderId="20" xfId="6" applyFont="1" applyFill="1" applyBorder="1" applyAlignment="1">
      <alignment horizontal="center" vertical="center"/>
    </xf>
    <xf numFmtId="0" fontId="0" fillId="0" borderId="35" xfId="0" applyBorder="1">
      <alignment vertical="center"/>
    </xf>
    <xf numFmtId="0" fontId="26" fillId="11" borderId="20" xfId="0" applyFont="1" applyFill="1" applyBorder="1" applyAlignment="1">
      <alignment horizontal="center" vertical="center" wrapText="1"/>
    </xf>
    <xf numFmtId="0" fontId="55" fillId="0" borderId="20" xfId="6" applyFont="1" applyFill="1" applyBorder="1" applyAlignment="1">
      <alignment horizontal="left" vertical="center" wrapText="1"/>
    </xf>
    <xf numFmtId="38" fontId="30" fillId="0" borderId="20" xfId="5" applyFont="1" applyFill="1" applyBorder="1" applyAlignment="1">
      <alignment horizontal="center" vertical="center"/>
    </xf>
    <xf numFmtId="0" fontId="30" fillId="7" borderId="20" xfId="6" applyFont="1" applyFill="1" applyBorder="1" applyAlignment="1">
      <alignment horizontal="center" vertical="center" wrapText="1"/>
    </xf>
    <xf numFmtId="0" fontId="8" fillId="7" borderId="20" xfId="0" applyFont="1" applyFill="1" applyBorder="1" applyAlignment="1">
      <alignment horizontal="left" vertical="center"/>
    </xf>
    <xf numFmtId="0" fontId="30" fillId="7" borderId="20" xfId="6" applyFont="1" applyFill="1" applyBorder="1" applyAlignment="1">
      <alignment vertical="center" wrapText="1"/>
    </xf>
    <xf numFmtId="0" fontId="28" fillId="7" borderId="54" xfId="0" applyFont="1" applyFill="1" applyBorder="1" applyAlignment="1">
      <alignment horizontal="center" vertical="center" wrapText="1"/>
    </xf>
    <xf numFmtId="49" fontId="49" fillId="7" borderId="20" xfId="0" applyNumberFormat="1" applyFont="1" applyFill="1" applyBorder="1" applyAlignment="1">
      <alignment horizontal="center" vertical="center"/>
    </xf>
    <xf numFmtId="0" fontId="53" fillId="7" borderId="20" xfId="4" applyFont="1" applyFill="1" applyBorder="1" applyAlignment="1">
      <alignment horizontal="left" vertical="center" wrapText="1"/>
    </xf>
    <xf numFmtId="58" fontId="54" fillId="7" borderId="20" xfId="6" applyNumberFormat="1" applyFont="1" applyFill="1" applyBorder="1" applyAlignment="1">
      <alignment horizontal="center" vertical="center" wrapText="1"/>
    </xf>
    <xf numFmtId="0" fontId="35" fillId="7" borderId="20" xfId="6" applyFont="1" applyFill="1" applyBorder="1" applyAlignment="1">
      <alignment vertical="center" wrapText="1"/>
    </xf>
    <xf numFmtId="180" fontId="30" fillId="7" borderId="20" xfId="7" applyNumberFormat="1" applyFont="1" applyFill="1" applyBorder="1" applyAlignment="1">
      <alignment vertical="center" wrapText="1"/>
    </xf>
    <xf numFmtId="38" fontId="30" fillId="7" borderId="20" xfId="5" applyFont="1" applyFill="1" applyBorder="1" applyAlignment="1">
      <alignment horizontal="center" vertical="center"/>
    </xf>
    <xf numFmtId="0" fontId="30" fillId="7" borderId="20" xfId="6" applyFont="1" applyFill="1" applyBorder="1" applyAlignment="1">
      <alignment horizontal="center" vertical="center"/>
    </xf>
    <xf numFmtId="0" fontId="0" fillId="7" borderId="35" xfId="0" applyFill="1" applyBorder="1">
      <alignment vertical="center"/>
    </xf>
    <xf numFmtId="0" fontId="35" fillId="0" borderId="20" xfId="6" applyFont="1" applyFill="1" applyBorder="1" applyAlignment="1">
      <alignment vertical="center" wrapText="1"/>
    </xf>
    <xf numFmtId="0" fontId="28" fillId="0" borderId="54" xfId="0" applyFont="1" applyBorder="1" applyAlignment="1">
      <alignment horizontal="center" vertical="center" wrapText="1"/>
    </xf>
    <xf numFmtId="38" fontId="56" fillId="12" borderId="20" xfId="5" applyFont="1" applyFill="1" applyBorder="1" applyAlignment="1">
      <alignment vertical="center" wrapText="1"/>
    </xf>
    <xf numFmtId="0" fontId="28" fillId="7" borderId="53" xfId="0" applyFont="1" applyFill="1" applyBorder="1" applyAlignment="1">
      <alignment horizontal="center" vertical="center" wrapText="1"/>
    </xf>
    <xf numFmtId="0" fontId="23" fillId="0" borderId="10" xfId="0" applyFont="1" applyBorder="1" applyAlignment="1">
      <alignment horizontal="center" vertical="center"/>
    </xf>
    <xf numFmtId="0" fontId="23" fillId="0" borderId="10" xfId="0" applyFont="1" applyBorder="1" applyAlignment="1">
      <alignment horizontal="center" vertical="center" wrapText="1"/>
    </xf>
    <xf numFmtId="0" fontId="30" fillId="0" borderId="10" xfId="6" applyFont="1" applyFill="1" applyBorder="1" applyAlignment="1">
      <alignment horizontal="center" vertical="center" wrapText="1"/>
    </xf>
    <xf numFmtId="0" fontId="8" fillId="0" borderId="10" xfId="0" applyFont="1" applyBorder="1" applyAlignment="1">
      <alignment horizontal="left" vertical="center"/>
    </xf>
    <xf numFmtId="0" fontId="30" fillId="0" borderId="10" xfId="6" applyFont="1" applyFill="1" applyBorder="1" applyAlignment="1">
      <alignment vertical="center" wrapText="1"/>
    </xf>
    <xf numFmtId="0" fontId="49" fillId="11" borderId="55" xfId="0" applyFont="1" applyFill="1" applyBorder="1" applyAlignment="1">
      <alignment horizontal="center" vertical="center"/>
    </xf>
    <xf numFmtId="49" fontId="49" fillId="0" borderId="10" xfId="0" applyNumberFormat="1" applyFont="1" applyBorder="1" applyAlignment="1">
      <alignment horizontal="center" vertical="center"/>
    </xf>
    <xf numFmtId="0" fontId="53" fillId="0" borderId="10" xfId="4" applyFont="1" applyFill="1" applyBorder="1" applyAlignment="1">
      <alignment horizontal="left" vertical="center" wrapText="1"/>
    </xf>
    <xf numFmtId="58" fontId="54" fillId="0" borderId="10" xfId="6" applyNumberFormat="1" applyFont="1" applyFill="1" applyBorder="1" applyAlignment="1">
      <alignment horizontal="center" vertical="center" wrapText="1"/>
    </xf>
    <xf numFmtId="0" fontId="35" fillId="0" borderId="10" xfId="6" applyFont="1" applyFill="1" applyBorder="1" applyAlignment="1">
      <alignment vertical="center" wrapText="1"/>
    </xf>
    <xf numFmtId="38" fontId="30" fillId="0" borderId="10" xfId="5" applyFont="1" applyFill="1" applyBorder="1" applyAlignment="1">
      <alignment vertical="center" wrapText="1"/>
    </xf>
    <xf numFmtId="38" fontId="30" fillId="0" borderId="10" xfId="5" applyFont="1" applyFill="1" applyBorder="1" applyAlignment="1">
      <alignment horizontal="center" vertical="center"/>
    </xf>
    <xf numFmtId="0" fontId="26" fillId="0" borderId="10" xfId="0" applyFont="1" applyBorder="1" applyAlignment="1">
      <alignment horizontal="left" vertical="center"/>
    </xf>
    <xf numFmtId="0" fontId="30" fillId="0" borderId="10" xfId="6" applyFont="1" applyFill="1" applyBorder="1" applyAlignment="1">
      <alignment horizontal="center" vertical="center"/>
    </xf>
    <xf numFmtId="0" fontId="26" fillId="11" borderId="10" xfId="0" applyFont="1" applyFill="1" applyBorder="1" applyAlignment="1">
      <alignment horizontal="center" vertical="center" wrapText="1"/>
    </xf>
    <xf numFmtId="0" fontId="23" fillId="0" borderId="45" xfId="0" applyFont="1" applyBorder="1" applyAlignment="1">
      <alignment horizontal="center" vertical="center"/>
    </xf>
    <xf numFmtId="0" fontId="23" fillId="0" borderId="45" xfId="0" applyFont="1" applyBorder="1" applyAlignment="1">
      <alignment horizontal="center" vertical="center" wrapText="1"/>
    </xf>
    <xf numFmtId="0" fontId="30" fillId="0" borderId="45" xfId="6" applyFont="1" applyFill="1" applyBorder="1" applyAlignment="1">
      <alignment horizontal="center" vertical="center" wrapText="1"/>
    </xf>
    <xf numFmtId="0" fontId="8" fillId="0" borderId="45" xfId="0" applyFont="1" applyBorder="1" applyAlignment="1">
      <alignment horizontal="left" vertical="center"/>
    </xf>
    <xf numFmtId="0" fontId="30" fillId="0" borderId="45" xfId="6" applyFont="1" applyFill="1" applyBorder="1" applyAlignment="1">
      <alignment vertical="center" wrapText="1"/>
    </xf>
    <xf numFmtId="0" fontId="28" fillId="0" borderId="0" xfId="0" applyFont="1" applyBorder="1" applyAlignment="1">
      <alignment horizontal="center" vertical="center" wrapText="1"/>
    </xf>
    <xf numFmtId="0" fontId="49" fillId="11" borderId="56" xfId="0" applyFont="1" applyFill="1" applyBorder="1" applyAlignment="1">
      <alignment horizontal="center" vertical="center"/>
    </xf>
    <xf numFmtId="49" fontId="49" fillId="0" borderId="45" xfId="0" applyNumberFormat="1" applyFont="1" applyBorder="1" applyAlignment="1">
      <alignment horizontal="center" vertical="center"/>
    </xf>
    <xf numFmtId="0" fontId="53" fillId="0" borderId="45" xfId="4" applyFont="1" applyFill="1" applyBorder="1" applyAlignment="1">
      <alignment horizontal="left" vertical="center" wrapText="1"/>
    </xf>
    <xf numFmtId="58" fontId="54" fillId="0" borderId="45" xfId="6" applyNumberFormat="1" applyFont="1" applyFill="1" applyBorder="1" applyAlignment="1">
      <alignment horizontal="center" vertical="center" wrapText="1"/>
    </xf>
    <xf numFmtId="0" fontId="35" fillId="0" borderId="45" xfId="6" applyFont="1" applyFill="1" applyBorder="1" applyAlignment="1">
      <alignment vertical="center" wrapText="1"/>
    </xf>
    <xf numFmtId="38" fontId="30" fillId="0" borderId="45" xfId="5" applyFont="1" applyFill="1" applyBorder="1" applyAlignment="1">
      <alignment vertical="center" wrapText="1"/>
    </xf>
    <xf numFmtId="38" fontId="30" fillId="0" borderId="45" xfId="5" applyFont="1" applyFill="1" applyBorder="1" applyAlignment="1">
      <alignment horizontal="center" vertical="center"/>
    </xf>
    <xf numFmtId="0" fontId="26" fillId="0" borderId="45" xfId="0" applyFont="1" applyBorder="1" applyAlignment="1">
      <alignment horizontal="left" vertical="center"/>
    </xf>
    <xf numFmtId="0" fontId="30" fillId="0" borderId="45" xfId="6" applyFont="1" applyFill="1" applyBorder="1" applyAlignment="1">
      <alignment horizontal="center" vertical="center"/>
    </xf>
    <xf numFmtId="0" fontId="26" fillId="11" borderId="45" xfId="0" applyFont="1" applyFill="1" applyBorder="1" applyAlignment="1">
      <alignment horizontal="center" vertical="center" wrapText="1"/>
    </xf>
    <xf numFmtId="0" fontId="30" fillId="13" borderId="20" xfId="6" applyFont="1" applyFill="1" applyBorder="1" applyAlignment="1">
      <alignment horizontal="center" vertical="center" wrapText="1"/>
    </xf>
    <xf numFmtId="0" fontId="8" fillId="13" borderId="20" xfId="0" applyFont="1" applyFill="1" applyBorder="1" applyAlignment="1">
      <alignment horizontal="left" vertical="center"/>
    </xf>
    <xf numFmtId="0" fontId="30" fillId="13" borderId="20" xfId="6" applyFont="1" applyFill="1" applyBorder="1" applyAlignment="1">
      <alignment vertical="center" wrapText="1"/>
    </xf>
    <xf numFmtId="0" fontId="28" fillId="13" borderId="54" xfId="0" applyFont="1" applyFill="1" applyBorder="1" applyAlignment="1">
      <alignment horizontal="center" vertical="center" wrapText="1"/>
    </xf>
    <xf numFmtId="49" fontId="49" fillId="13" borderId="20" xfId="0" applyNumberFormat="1" applyFont="1" applyFill="1" applyBorder="1" applyAlignment="1">
      <alignment horizontal="center" vertical="center"/>
    </xf>
    <xf numFmtId="0" fontId="53" fillId="13" borderId="20" xfId="4" applyFont="1" applyFill="1" applyBorder="1" applyAlignment="1">
      <alignment horizontal="left" vertical="center" wrapText="1"/>
    </xf>
    <xf numFmtId="58" fontId="54" fillId="13" borderId="20" xfId="6" applyNumberFormat="1" applyFont="1" applyFill="1" applyBorder="1" applyAlignment="1">
      <alignment horizontal="center" vertical="center" wrapText="1"/>
    </xf>
    <xf numFmtId="0" fontId="35" fillId="13" borderId="20" xfId="6" applyFont="1" applyFill="1" applyBorder="1" applyAlignment="1">
      <alignment vertical="center" wrapText="1"/>
    </xf>
    <xf numFmtId="38" fontId="30" fillId="13" borderId="20" xfId="5" applyFont="1" applyFill="1" applyBorder="1" applyAlignment="1">
      <alignment vertical="center" wrapText="1"/>
    </xf>
    <xf numFmtId="180" fontId="30" fillId="13" borderId="20" xfId="7" applyNumberFormat="1" applyFont="1" applyFill="1" applyBorder="1" applyAlignment="1">
      <alignment vertical="center" wrapText="1"/>
    </xf>
    <xf numFmtId="38" fontId="30" fillId="13" borderId="20" xfId="5" applyFont="1" applyFill="1" applyBorder="1" applyAlignment="1">
      <alignment horizontal="center" vertical="center" wrapText="1"/>
    </xf>
    <xf numFmtId="0" fontId="26" fillId="13" borderId="20" xfId="0" applyFont="1" applyFill="1" applyBorder="1" applyAlignment="1">
      <alignment horizontal="left" vertical="center"/>
    </xf>
    <xf numFmtId="0" fontId="30" fillId="13" borderId="20" xfId="6" applyFont="1" applyFill="1" applyBorder="1" applyAlignment="1">
      <alignment horizontal="center" vertical="center"/>
    </xf>
    <xf numFmtId="0" fontId="0" fillId="13" borderId="35" xfId="0" applyFill="1" applyBorder="1">
      <alignment vertical="center"/>
    </xf>
    <xf numFmtId="0" fontId="37" fillId="14" borderId="20" xfId="0" applyFont="1" applyFill="1" applyBorder="1">
      <alignment vertical="center"/>
    </xf>
    <xf numFmtId="0" fontId="37" fillId="14" borderId="20" xfId="0" applyFont="1" applyFill="1" applyBorder="1" applyAlignment="1">
      <alignment vertical="center" wrapText="1"/>
    </xf>
    <xf numFmtId="0" fontId="28" fillId="0" borderId="57" xfId="0" applyFont="1" applyBorder="1" applyAlignment="1">
      <alignment horizontal="center" vertical="center" wrapText="1"/>
    </xf>
    <xf numFmtId="38" fontId="56" fillId="12" borderId="20" xfId="5" quotePrefix="1" applyFont="1" applyFill="1" applyBorder="1" applyAlignment="1">
      <alignment horizontal="right" vertical="center" wrapText="1"/>
    </xf>
    <xf numFmtId="0" fontId="23" fillId="7" borderId="10" xfId="0" applyFont="1" applyFill="1" applyBorder="1" applyAlignment="1">
      <alignment horizontal="center" vertical="center"/>
    </xf>
    <xf numFmtId="0" fontId="23" fillId="7" borderId="10" xfId="0" applyFont="1" applyFill="1" applyBorder="1" applyAlignment="1">
      <alignment horizontal="center" vertical="center" wrapText="1"/>
    </xf>
    <xf numFmtId="0" fontId="30" fillId="7" borderId="10" xfId="6" applyFont="1" applyFill="1" applyBorder="1" applyAlignment="1">
      <alignment horizontal="center" vertical="center" wrapText="1"/>
    </xf>
    <xf numFmtId="0" fontId="8" fillId="7" borderId="10" xfId="0" applyFont="1" applyFill="1" applyBorder="1" applyAlignment="1">
      <alignment horizontal="left" vertical="center"/>
    </xf>
    <xf numFmtId="0" fontId="30" fillId="7" borderId="10" xfId="6" applyFont="1" applyFill="1" applyBorder="1" applyAlignment="1">
      <alignment vertical="center" wrapText="1"/>
    </xf>
    <xf numFmtId="49" fontId="49" fillId="7" borderId="10" xfId="0" applyNumberFormat="1" applyFont="1" applyFill="1" applyBorder="1" applyAlignment="1">
      <alignment horizontal="center" vertical="center"/>
    </xf>
    <xf numFmtId="0" fontId="53" fillId="7" borderId="10" xfId="4" applyFont="1" applyFill="1" applyBorder="1" applyAlignment="1">
      <alignment horizontal="left" vertical="center" wrapText="1"/>
    </xf>
    <xf numFmtId="58" fontId="54" fillId="7" borderId="10" xfId="6" applyNumberFormat="1" applyFont="1" applyFill="1" applyBorder="1" applyAlignment="1">
      <alignment horizontal="center" vertical="center" wrapText="1"/>
    </xf>
    <xf numFmtId="0" fontId="35" fillId="7" borderId="10" xfId="6" applyFont="1" applyFill="1" applyBorder="1" applyAlignment="1">
      <alignment vertical="center" wrapText="1"/>
    </xf>
    <xf numFmtId="38" fontId="30" fillId="7" borderId="10" xfId="5" applyFont="1" applyFill="1" applyBorder="1" applyAlignment="1">
      <alignment vertical="center" wrapText="1"/>
    </xf>
    <xf numFmtId="38" fontId="30" fillId="7" borderId="10" xfId="5" applyFont="1" applyFill="1" applyBorder="1" applyAlignment="1">
      <alignment horizontal="center" vertical="center"/>
    </xf>
    <xf numFmtId="0" fontId="30" fillId="7" borderId="10" xfId="6" applyFont="1" applyFill="1" applyBorder="1" applyAlignment="1">
      <alignment horizontal="center" vertical="center"/>
    </xf>
    <xf numFmtId="0" fontId="26" fillId="7" borderId="10" xfId="0" applyFont="1" applyFill="1" applyBorder="1" applyAlignment="1">
      <alignment horizontal="center" vertical="center" wrapText="1"/>
    </xf>
    <xf numFmtId="0" fontId="30" fillId="18" borderId="20" xfId="6" applyFont="1" applyFill="1" applyBorder="1" applyAlignment="1">
      <alignment horizontal="center" vertical="center" wrapText="1"/>
    </xf>
    <xf numFmtId="0" fontId="8" fillId="18" borderId="20" xfId="0" applyFont="1" applyFill="1" applyBorder="1" applyAlignment="1">
      <alignment horizontal="left" vertical="center"/>
    </xf>
    <xf numFmtId="0" fontId="30" fillId="18" borderId="20" xfId="6" applyFont="1" applyFill="1" applyBorder="1" applyAlignment="1">
      <alignment vertical="center" wrapText="1"/>
    </xf>
    <xf numFmtId="0" fontId="26" fillId="18" borderId="20" xfId="0" applyFont="1" applyFill="1" applyBorder="1" applyAlignment="1">
      <alignment horizontal="left" vertical="center"/>
    </xf>
    <xf numFmtId="0" fontId="30" fillId="18" borderId="45" xfId="6" applyFont="1" applyFill="1" applyBorder="1" applyAlignment="1">
      <alignment horizontal="center" vertical="center" wrapText="1"/>
    </xf>
    <xf numFmtId="0" fontId="8" fillId="18" borderId="45" xfId="0" applyFont="1" applyFill="1" applyBorder="1" applyAlignment="1">
      <alignment horizontal="left" vertical="center"/>
    </xf>
    <xf numFmtId="0" fontId="30" fillId="18" borderId="45" xfId="6" applyFont="1" applyFill="1" applyBorder="1" applyAlignment="1">
      <alignment vertical="center" wrapText="1"/>
    </xf>
    <xf numFmtId="0" fontId="26" fillId="18" borderId="45" xfId="0" applyFont="1" applyFill="1" applyBorder="1" applyAlignment="1">
      <alignment horizontal="left" vertical="center"/>
    </xf>
    <xf numFmtId="0" fontId="28" fillId="0" borderId="58" xfId="0" applyFont="1" applyBorder="1" applyAlignment="1">
      <alignment horizontal="center" vertical="center" wrapText="1"/>
    </xf>
    <xf numFmtId="38" fontId="30" fillId="7" borderId="20" xfId="5" applyFont="1" applyFill="1" applyBorder="1" applyAlignment="1">
      <alignment horizontal="center" vertical="center" wrapText="1"/>
    </xf>
    <xf numFmtId="38" fontId="30" fillId="0" borderId="10" xfId="5" applyFont="1" applyFill="1" applyBorder="1" applyAlignment="1">
      <alignment horizontal="center" vertical="center" wrapText="1"/>
    </xf>
    <xf numFmtId="0" fontId="31" fillId="0" borderId="45" xfId="6" applyFont="1" applyBorder="1" applyAlignment="1">
      <alignment horizontal="center" vertical="center" wrapText="1"/>
    </xf>
    <xf numFmtId="0" fontId="31" fillId="0" borderId="45" xfId="6" applyFont="1" applyBorder="1" applyAlignment="1">
      <alignment vertical="center" wrapText="1"/>
    </xf>
    <xf numFmtId="0" fontId="30" fillId="0" borderId="45" xfId="6" applyFont="1" applyBorder="1" applyAlignment="1">
      <alignment vertical="center" wrapText="1"/>
    </xf>
    <xf numFmtId="58" fontId="54" fillId="0" borderId="45" xfId="6" applyNumberFormat="1" applyFont="1" applyBorder="1" applyAlignment="1">
      <alignment horizontal="center" vertical="center" wrapText="1"/>
    </xf>
    <xf numFmtId="0" fontId="35" fillId="0" borderId="45" xfId="6" applyFont="1" applyBorder="1" applyAlignment="1">
      <alignment vertical="center" wrapText="1"/>
    </xf>
    <xf numFmtId="38" fontId="30" fillId="0" borderId="45" xfId="5" applyFont="1" applyBorder="1" applyAlignment="1">
      <alignment vertical="center" wrapText="1"/>
    </xf>
    <xf numFmtId="38" fontId="56" fillId="2" borderId="45" xfId="5" applyFont="1" applyFill="1" applyBorder="1" applyAlignment="1">
      <alignment vertical="center" wrapText="1"/>
    </xf>
    <xf numFmtId="0" fontId="23" fillId="0" borderId="45" xfId="0" applyFont="1" applyFill="1" applyBorder="1" applyAlignment="1">
      <alignment horizontal="center" vertical="center" wrapText="1"/>
    </xf>
    <xf numFmtId="0" fontId="31" fillId="13" borderId="20" xfId="6" applyFill="1" applyBorder="1" applyAlignment="1">
      <alignment vertical="center" wrapText="1"/>
    </xf>
    <xf numFmtId="0" fontId="57" fillId="13" borderId="37" xfId="0" applyFont="1" applyFill="1" applyBorder="1" applyAlignment="1">
      <alignment horizontal="center" vertical="center"/>
    </xf>
    <xf numFmtId="58" fontId="30" fillId="13" borderId="20" xfId="6" applyNumberFormat="1" applyFont="1" applyFill="1" applyBorder="1" applyAlignment="1">
      <alignment vertical="center" wrapText="1"/>
    </xf>
    <xf numFmtId="38" fontId="30" fillId="13" borderId="20" xfId="5" applyFont="1" applyFill="1" applyBorder="1">
      <alignment vertical="center"/>
    </xf>
    <xf numFmtId="38" fontId="56" fillId="13" borderId="20" xfId="5" applyFont="1" applyFill="1" applyBorder="1" applyAlignment="1">
      <alignment vertical="center" wrapText="1"/>
    </xf>
    <xf numFmtId="0" fontId="31" fillId="13" borderId="20" xfId="6" applyFont="1" applyFill="1" applyBorder="1" applyAlignment="1">
      <alignment horizontal="center" vertical="center"/>
    </xf>
    <xf numFmtId="0" fontId="31" fillId="0" borderId="20" xfId="6" applyBorder="1" applyAlignment="1">
      <alignment vertical="center" wrapText="1"/>
    </xf>
    <xf numFmtId="0" fontId="42" fillId="11" borderId="37" xfId="0" applyFont="1" applyFill="1" applyBorder="1" applyAlignment="1">
      <alignment horizontal="center" vertical="center"/>
    </xf>
    <xf numFmtId="0" fontId="30" fillId="0" borderId="20" xfId="6" applyFont="1" applyBorder="1" applyAlignment="1">
      <alignment vertical="center" wrapText="1"/>
    </xf>
    <xf numFmtId="58" fontId="30" fillId="0" borderId="20" xfId="6" applyNumberFormat="1" applyFont="1" applyBorder="1" applyAlignment="1">
      <alignment vertical="center" wrapText="1"/>
    </xf>
    <xf numFmtId="38" fontId="30" fillId="0" borderId="20" xfId="5" applyFont="1" applyBorder="1">
      <alignment vertical="center"/>
    </xf>
    <xf numFmtId="0" fontId="31" fillId="0" borderId="20" xfId="6" applyFill="1" applyBorder="1" applyAlignment="1">
      <alignment horizontal="center" vertical="center"/>
    </xf>
    <xf numFmtId="0" fontId="37" fillId="7" borderId="20" xfId="0" applyFont="1" applyFill="1" applyBorder="1">
      <alignment vertical="center"/>
    </xf>
    <xf numFmtId="0" fontId="42" fillId="7" borderId="37" xfId="0" applyFont="1" applyFill="1" applyBorder="1" applyAlignment="1">
      <alignment horizontal="center" vertical="center"/>
    </xf>
    <xf numFmtId="58" fontId="30" fillId="7" borderId="20" xfId="0" applyNumberFormat="1" applyFont="1" applyFill="1" applyBorder="1" applyAlignment="1">
      <alignment horizontal="center" vertical="center" wrapText="1"/>
    </xf>
    <xf numFmtId="0" fontId="35" fillId="7" borderId="20" xfId="6" applyFont="1" applyFill="1" applyBorder="1" applyAlignment="1">
      <alignment horizontal="left" vertical="center" wrapText="1"/>
    </xf>
    <xf numFmtId="0" fontId="0" fillId="7" borderId="20" xfId="0" applyFill="1" applyBorder="1" applyAlignment="1">
      <alignment horizontal="center" vertical="center"/>
    </xf>
    <xf numFmtId="58" fontId="30" fillId="0" borderId="20" xfId="0" applyNumberFormat="1" applyFont="1" applyBorder="1" applyAlignment="1">
      <alignment horizontal="center" vertical="center" wrapText="1"/>
    </xf>
    <xf numFmtId="0" fontId="0" fillId="0" borderId="20" xfId="0" applyBorder="1" applyAlignment="1">
      <alignment horizontal="center" vertical="center"/>
    </xf>
    <xf numFmtId="0" fontId="42" fillId="13" borderId="37" xfId="0" applyFont="1" applyFill="1" applyBorder="1" applyAlignment="1">
      <alignment horizontal="center" vertical="center"/>
    </xf>
    <xf numFmtId="58" fontId="30" fillId="13" borderId="20" xfId="0" applyNumberFormat="1" applyFont="1" applyFill="1" applyBorder="1" applyAlignment="1">
      <alignment horizontal="center" vertical="center" wrapText="1"/>
    </xf>
    <xf numFmtId="38" fontId="30" fillId="13" borderId="20" xfId="5" applyFont="1" applyFill="1" applyBorder="1" applyAlignment="1">
      <alignment horizontal="center" vertical="center"/>
    </xf>
    <xf numFmtId="0" fontId="0" fillId="13" borderId="20" xfId="0" applyFill="1" applyBorder="1" applyAlignment="1">
      <alignment horizontal="center" vertical="center"/>
    </xf>
    <xf numFmtId="0" fontId="42" fillId="11" borderId="43" xfId="0" applyFont="1" applyFill="1" applyBorder="1" applyAlignment="1">
      <alignment horizontal="center" vertical="center"/>
    </xf>
    <xf numFmtId="0" fontId="26" fillId="0" borderId="10" xfId="0" applyFont="1" applyBorder="1" applyAlignment="1">
      <alignment horizontal="left" vertical="center" wrapText="1"/>
    </xf>
    <xf numFmtId="0" fontId="42" fillId="11" borderId="46" xfId="0" applyFont="1" applyFill="1" applyBorder="1" applyAlignment="1">
      <alignment horizontal="center" vertical="center"/>
    </xf>
    <xf numFmtId="38" fontId="56" fillId="12" borderId="45" xfId="5" applyFont="1" applyFill="1" applyBorder="1" applyAlignment="1">
      <alignment vertical="center" wrapText="1"/>
    </xf>
    <xf numFmtId="0" fontId="26" fillId="0" borderId="45" xfId="0" applyFont="1" applyBorder="1" applyAlignment="1">
      <alignment horizontal="left" vertical="center" wrapText="1"/>
    </xf>
    <xf numFmtId="0" fontId="57" fillId="11" borderId="37" xfId="0" applyFont="1" applyFill="1" applyBorder="1" applyAlignment="1">
      <alignment horizontal="center" vertical="center"/>
    </xf>
    <xf numFmtId="0" fontId="0" fillId="19" borderId="0" xfId="0" applyFill="1">
      <alignment vertical="center"/>
    </xf>
    <xf numFmtId="0" fontId="23" fillId="20" borderId="20" xfId="0" applyFont="1" applyFill="1" applyBorder="1" applyAlignment="1">
      <alignment horizontal="center" vertical="center"/>
    </xf>
    <xf numFmtId="38" fontId="30" fillId="0" borderId="20" xfId="5" quotePrefix="1" applyFont="1" applyFill="1" applyBorder="1" applyAlignment="1">
      <alignment horizontal="right" vertical="center" wrapText="1"/>
    </xf>
    <xf numFmtId="0" fontId="3" fillId="20" borderId="0" xfId="0" applyFont="1" applyFill="1">
      <alignment vertical="center"/>
    </xf>
    <xf numFmtId="0" fontId="37" fillId="0" borderId="20" xfId="0" applyFont="1" applyFill="1" applyBorder="1">
      <alignment vertical="center"/>
    </xf>
    <xf numFmtId="0" fontId="26" fillId="18" borderId="20" xfId="0" applyFont="1" applyFill="1" applyBorder="1" applyAlignment="1">
      <alignment horizontal="left" vertical="center" wrapText="1"/>
    </xf>
    <xf numFmtId="0" fontId="26" fillId="18" borderId="45" xfId="0" applyFont="1" applyFill="1" applyBorder="1" applyAlignment="1">
      <alignment horizontal="left" vertical="center" wrapText="1"/>
    </xf>
    <xf numFmtId="0" fontId="0" fillId="7" borderId="20" xfId="0" applyFill="1" applyBorder="1" applyAlignment="1">
      <alignment horizontal="center" vertical="center" wrapText="1"/>
    </xf>
    <xf numFmtId="38" fontId="56" fillId="12" borderId="10" xfId="5" applyFont="1" applyFill="1" applyBorder="1" applyAlignment="1">
      <alignment vertical="center" wrapText="1"/>
    </xf>
    <xf numFmtId="0" fontId="24" fillId="2" borderId="20" xfId="0" applyFont="1" applyFill="1" applyBorder="1">
      <alignment vertical="center"/>
    </xf>
    <xf numFmtId="0" fontId="0" fillId="2" borderId="20" xfId="0" applyFill="1" applyBorder="1">
      <alignment vertical="center"/>
    </xf>
    <xf numFmtId="0" fontId="31" fillId="0" borderId="20" xfId="6" applyFont="1" applyFill="1" applyBorder="1" applyAlignment="1">
      <alignment vertical="center" wrapText="1"/>
    </xf>
    <xf numFmtId="0" fontId="24" fillId="0" borderId="20" xfId="0" applyFont="1" applyBorder="1">
      <alignment vertical="center"/>
    </xf>
    <xf numFmtId="0" fontId="42" fillId="0" borderId="57" xfId="0" applyFont="1" applyBorder="1" applyAlignment="1">
      <alignment horizontal="center" vertical="center"/>
    </xf>
    <xf numFmtId="58" fontId="30" fillId="0" borderId="20" xfId="6" applyNumberFormat="1" applyFont="1" applyFill="1" applyBorder="1" applyAlignment="1">
      <alignment horizontal="center" vertical="center"/>
    </xf>
    <xf numFmtId="38" fontId="30" fillId="0" borderId="20" xfId="5" applyFont="1" applyFill="1" applyBorder="1">
      <alignment vertical="center"/>
    </xf>
    <xf numFmtId="0" fontId="45" fillId="0" borderId="20" xfId="0" applyFont="1" applyBorder="1">
      <alignment vertical="center"/>
    </xf>
    <xf numFmtId="0" fontId="49" fillId="11" borderId="59" xfId="0" applyFont="1" applyFill="1" applyBorder="1" applyAlignment="1">
      <alignment horizontal="center" vertical="center"/>
    </xf>
    <xf numFmtId="0" fontId="24" fillId="0" borderId="45" xfId="0" applyFont="1" applyBorder="1">
      <alignment vertical="center"/>
    </xf>
    <xf numFmtId="0" fontId="42" fillId="0" borderId="58" xfId="0" applyFont="1" applyBorder="1" applyAlignment="1">
      <alignment horizontal="center" vertical="center"/>
    </xf>
    <xf numFmtId="0" fontId="42" fillId="0" borderId="18" xfId="0" applyFont="1" applyBorder="1" applyAlignment="1">
      <alignment horizontal="center" vertical="center"/>
    </xf>
    <xf numFmtId="0" fontId="49" fillId="11" borderId="60" xfId="0" applyFont="1" applyFill="1" applyBorder="1" applyAlignment="1">
      <alignment horizontal="center" vertical="center"/>
    </xf>
    <xf numFmtId="0" fontId="49" fillId="11" borderId="61" xfId="0" applyFont="1" applyFill="1" applyBorder="1" applyAlignment="1">
      <alignment horizontal="center" vertical="center"/>
    </xf>
    <xf numFmtId="0" fontId="42" fillId="0" borderId="0" xfId="0" applyFont="1" applyAlignment="1">
      <alignment horizontal="center" vertical="center"/>
    </xf>
    <xf numFmtId="0" fontId="24" fillId="0" borderId="20" xfId="0" applyFont="1" applyFill="1" applyBorder="1">
      <alignment vertical="center"/>
    </xf>
    <xf numFmtId="0" fontId="45" fillId="0" borderId="10" xfId="0" applyFont="1" applyBorder="1">
      <alignment vertical="center"/>
    </xf>
    <xf numFmtId="0" fontId="45" fillId="0" borderId="45" xfId="0" applyFont="1" applyBorder="1">
      <alignment vertical="center"/>
    </xf>
    <xf numFmtId="0" fontId="31" fillId="7" borderId="20" xfId="6" applyFont="1" applyFill="1" applyBorder="1" applyAlignment="1">
      <alignment vertical="center" wrapText="1"/>
    </xf>
    <xf numFmtId="0" fontId="24" fillId="7" borderId="20" xfId="0" applyFont="1" applyFill="1" applyBorder="1">
      <alignment vertical="center"/>
    </xf>
    <xf numFmtId="0" fontId="42" fillId="7" borderId="57" xfId="0" applyFont="1" applyFill="1" applyBorder="1" applyAlignment="1">
      <alignment horizontal="center" vertical="center"/>
    </xf>
    <xf numFmtId="0" fontId="49" fillId="7" borderId="59" xfId="0" applyFont="1" applyFill="1" applyBorder="1" applyAlignment="1">
      <alignment horizontal="center" vertical="center"/>
    </xf>
    <xf numFmtId="58" fontId="30" fillId="7" borderId="20" xfId="6" applyNumberFormat="1" applyFont="1" applyFill="1" applyBorder="1" applyAlignment="1">
      <alignment horizontal="center" vertical="center"/>
    </xf>
    <xf numFmtId="0" fontId="31" fillId="7" borderId="20" xfId="6" applyFont="1" applyFill="1" applyBorder="1" applyAlignment="1">
      <alignment horizontal="center" vertical="center"/>
    </xf>
    <xf numFmtId="0" fontId="45" fillId="7" borderId="20" xfId="0" applyFont="1" applyFill="1" applyBorder="1">
      <alignment vertical="center"/>
    </xf>
    <xf numFmtId="0" fontId="31" fillId="0" borderId="45" xfId="6" applyFont="1" applyFill="1" applyBorder="1" applyAlignment="1">
      <alignment vertical="center" wrapText="1"/>
    </xf>
    <xf numFmtId="0" fontId="50" fillId="0" borderId="20" xfId="6" applyFont="1" applyFill="1" applyBorder="1" applyAlignment="1">
      <alignment vertical="center" wrapText="1"/>
    </xf>
    <xf numFmtId="0" fontId="31" fillId="0" borderId="20" xfId="6" applyFont="1" applyFill="1" applyBorder="1" applyAlignment="1">
      <alignment horizontal="center" vertical="center"/>
    </xf>
    <xf numFmtId="0" fontId="45" fillId="18" borderId="20" xfId="0" applyFont="1" applyFill="1" applyBorder="1">
      <alignment vertical="center"/>
    </xf>
    <xf numFmtId="0" fontId="45" fillId="18" borderId="45" xfId="0" applyFont="1" applyFill="1" applyBorder="1">
      <alignment vertical="center"/>
    </xf>
    <xf numFmtId="0" fontId="24" fillId="7" borderId="45" xfId="0" applyFont="1" applyFill="1" applyBorder="1">
      <alignment vertical="center"/>
    </xf>
    <xf numFmtId="0" fontId="42" fillId="7" borderId="58" xfId="0" applyFont="1" applyFill="1" applyBorder="1" applyAlignment="1">
      <alignment horizontal="center" vertical="center"/>
    </xf>
    <xf numFmtId="0" fontId="30" fillId="7" borderId="47" xfId="3" applyFont="1" applyFill="1" applyBorder="1" applyAlignment="1">
      <alignment vertical="center" wrapText="1"/>
    </xf>
    <xf numFmtId="58" fontId="30" fillId="0" borderId="20" xfId="6" applyNumberFormat="1" applyFont="1" applyBorder="1" applyAlignment="1">
      <alignment horizontal="center" vertical="center"/>
    </xf>
    <xf numFmtId="0" fontId="31" fillId="0" borderId="20" xfId="6" applyFill="1" applyBorder="1" applyAlignment="1">
      <alignment horizontal="center" vertical="center" wrapText="1"/>
    </xf>
    <xf numFmtId="0" fontId="31" fillId="7" borderId="20" xfId="6" applyFill="1" applyBorder="1" applyAlignment="1">
      <alignment vertical="center" wrapText="1"/>
    </xf>
    <xf numFmtId="0" fontId="49" fillId="7" borderId="49" xfId="0" applyFont="1" applyFill="1" applyBorder="1" applyAlignment="1" applyProtection="1">
      <alignment horizontal="center" vertical="center"/>
      <protection locked="0"/>
    </xf>
    <xf numFmtId="49" fontId="30" fillId="7" borderId="20" xfId="6" applyNumberFormat="1" applyFont="1" applyFill="1" applyBorder="1" applyAlignment="1">
      <alignment horizontal="center" vertical="center"/>
    </xf>
    <xf numFmtId="38" fontId="30" fillId="7" borderId="20" xfId="1" applyFont="1" applyFill="1" applyBorder="1" applyAlignment="1">
      <alignment vertical="center" wrapText="1"/>
    </xf>
    <xf numFmtId="0" fontId="31" fillId="7" borderId="20" xfId="6" applyFill="1" applyBorder="1">
      <alignment vertical="center"/>
    </xf>
    <xf numFmtId="49" fontId="30" fillId="0" borderId="20" xfId="6" applyNumberFormat="1" applyFont="1" applyFill="1" applyBorder="1" applyAlignment="1">
      <alignment horizontal="center" vertical="center"/>
    </xf>
    <xf numFmtId="38" fontId="30" fillId="0" borderId="20" xfId="1" applyFont="1" applyBorder="1" applyAlignment="1">
      <alignment vertical="center" wrapText="1"/>
    </xf>
    <xf numFmtId="0" fontId="31" fillId="0" borderId="20" xfId="6" applyBorder="1" applyAlignment="1">
      <alignment horizontal="right" vertical="center"/>
    </xf>
    <xf numFmtId="0" fontId="50" fillId="0" borderId="20" xfId="6" applyFont="1" applyBorder="1" applyAlignment="1">
      <alignment vertical="center" wrapText="1"/>
    </xf>
    <xf numFmtId="0" fontId="53" fillId="0" borderId="20" xfId="6" applyFont="1" applyFill="1" applyBorder="1" applyAlignment="1">
      <alignment horizontal="left" vertical="center" wrapText="1"/>
    </xf>
    <xf numFmtId="0" fontId="49" fillId="13" borderId="49" xfId="0" applyFont="1" applyFill="1" applyBorder="1" applyAlignment="1" applyProtection="1">
      <alignment horizontal="center" vertical="center"/>
      <protection locked="0"/>
    </xf>
    <xf numFmtId="49" fontId="30" fillId="13" borderId="20" xfId="6" applyNumberFormat="1" applyFont="1" applyFill="1" applyBorder="1" applyAlignment="1">
      <alignment horizontal="center" vertical="center"/>
    </xf>
    <xf numFmtId="38" fontId="30" fillId="13" borderId="20" xfId="1" applyFont="1" applyFill="1" applyBorder="1" applyAlignment="1">
      <alignment vertical="center" wrapText="1"/>
    </xf>
    <xf numFmtId="0" fontId="31" fillId="13" borderId="20" xfId="6" applyFill="1" applyBorder="1">
      <alignment vertical="center"/>
    </xf>
    <xf numFmtId="0" fontId="45" fillId="13" borderId="20" xfId="0" applyFont="1" applyFill="1" applyBorder="1">
      <alignment vertical="center"/>
    </xf>
    <xf numFmtId="0" fontId="31" fillId="0" borderId="42" xfId="6" applyFont="1" applyFill="1" applyBorder="1" applyAlignment="1">
      <alignment vertical="center" wrapText="1"/>
    </xf>
    <xf numFmtId="0" fontId="31" fillId="0" borderId="0" xfId="6" applyFont="1" applyFill="1" applyBorder="1">
      <alignment vertical="center"/>
    </xf>
    <xf numFmtId="0" fontId="31" fillId="0" borderId="42" xfId="6" applyFill="1" applyBorder="1" applyAlignment="1">
      <alignment vertical="center" wrapText="1"/>
    </xf>
    <xf numFmtId="0" fontId="31" fillId="0" borderId="42" xfId="6" applyFill="1" applyBorder="1" applyAlignment="1">
      <alignment horizontal="right" vertical="center"/>
    </xf>
    <xf numFmtId="38" fontId="30" fillId="0" borderId="20" xfId="1" applyFont="1" applyFill="1" applyBorder="1" applyAlignment="1">
      <alignment vertical="center" wrapText="1"/>
    </xf>
    <xf numFmtId="0" fontId="31" fillId="7" borderId="20" xfId="6" applyFill="1" applyBorder="1" applyAlignment="1">
      <alignment horizontal="center" vertical="center"/>
    </xf>
    <xf numFmtId="0" fontId="23" fillId="0" borderId="20" xfId="0" applyFont="1" applyBorder="1">
      <alignment vertical="center"/>
    </xf>
    <xf numFmtId="0" fontId="45" fillId="7" borderId="10" xfId="0" applyFont="1" applyFill="1" applyBorder="1">
      <alignment vertical="center"/>
    </xf>
    <xf numFmtId="0" fontId="8" fillId="7" borderId="45" xfId="0" applyFont="1" applyFill="1" applyBorder="1" applyAlignment="1">
      <alignment horizontal="left" vertical="center"/>
    </xf>
    <xf numFmtId="0" fontId="45" fillId="7" borderId="45" xfId="0" applyFont="1" applyFill="1" applyBorder="1">
      <alignment vertical="center"/>
    </xf>
    <xf numFmtId="0" fontId="23" fillId="21" borderId="20" xfId="0" applyFont="1" applyFill="1" applyBorder="1" applyAlignment="1">
      <alignment horizontal="center" vertical="center"/>
    </xf>
    <xf numFmtId="0" fontId="23" fillId="21" borderId="20" xfId="0" applyFont="1" applyFill="1" applyBorder="1" applyAlignment="1">
      <alignment horizontal="center" vertical="center" wrapText="1"/>
    </xf>
    <xf numFmtId="0" fontId="31" fillId="21" borderId="20" xfId="6" applyFill="1" applyBorder="1" applyAlignment="1">
      <alignment vertical="center" wrapText="1"/>
    </xf>
    <xf numFmtId="0" fontId="8" fillId="21" borderId="20" xfId="0" applyFont="1" applyFill="1" applyBorder="1" applyAlignment="1">
      <alignment horizontal="left" vertical="center"/>
    </xf>
    <xf numFmtId="0" fontId="31" fillId="21" borderId="20" xfId="6" applyFill="1" applyBorder="1" applyAlignment="1">
      <alignment horizontal="center" vertical="center" wrapText="1"/>
    </xf>
    <xf numFmtId="0" fontId="25" fillId="21" borderId="45" xfId="0" applyFont="1" applyFill="1" applyBorder="1" applyAlignment="1">
      <alignment horizontal="center" vertical="center" wrapText="1"/>
    </xf>
    <xf numFmtId="0" fontId="42" fillId="21" borderId="37" xfId="0" applyFont="1" applyFill="1" applyBorder="1" applyAlignment="1">
      <alignment horizontal="center" vertical="center"/>
    </xf>
    <xf numFmtId="0" fontId="49" fillId="21" borderId="49" xfId="0" applyFont="1" applyFill="1" applyBorder="1" applyAlignment="1">
      <alignment horizontal="center" vertical="center"/>
    </xf>
    <xf numFmtId="49" fontId="49" fillId="21" borderId="20" xfId="0" applyNumberFormat="1" applyFont="1" applyFill="1" applyBorder="1" applyAlignment="1">
      <alignment horizontal="center" vertical="center"/>
    </xf>
    <xf numFmtId="0" fontId="30" fillId="21" borderId="20" xfId="6" applyFont="1" applyFill="1" applyBorder="1" applyAlignment="1">
      <alignment vertical="center" wrapText="1"/>
    </xf>
    <xf numFmtId="0" fontId="53" fillId="21" borderId="20" xfId="4" applyFont="1" applyFill="1" applyBorder="1" applyAlignment="1">
      <alignment horizontal="left" vertical="center" wrapText="1"/>
    </xf>
    <xf numFmtId="49" fontId="30" fillId="21" borderId="20" xfId="6" applyNumberFormat="1" applyFont="1" applyFill="1" applyBorder="1" applyAlignment="1">
      <alignment horizontal="center" vertical="center"/>
    </xf>
    <xf numFmtId="38" fontId="30" fillId="21" borderId="20" xfId="1" applyFont="1" applyFill="1" applyBorder="1" applyAlignment="1">
      <alignment vertical="center" wrapText="1"/>
    </xf>
    <xf numFmtId="180" fontId="30" fillId="21" borderId="20" xfId="7" applyNumberFormat="1" applyFont="1" applyFill="1" applyBorder="1" applyAlignment="1">
      <alignment vertical="center" wrapText="1"/>
    </xf>
    <xf numFmtId="0" fontId="30" fillId="21" borderId="20" xfId="6" applyFont="1" applyFill="1" applyBorder="1" applyAlignment="1">
      <alignment horizontal="center" vertical="center" wrapText="1"/>
    </xf>
    <xf numFmtId="0" fontId="31" fillId="21" borderId="20" xfId="6" applyFill="1" applyBorder="1" applyAlignment="1">
      <alignment horizontal="center" vertical="center"/>
    </xf>
    <xf numFmtId="0" fontId="45" fillId="21" borderId="20" xfId="0" applyFont="1" applyFill="1" applyBorder="1">
      <alignment vertical="center"/>
    </xf>
    <xf numFmtId="0" fontId="57" fillId="11" borderId="20" xfId="0" applyFont="1" applyFill="1" applyBorder="1" applyAlignment="1">
      <alignment horizontal="center" vertical="center"/>
    </xf>
    <xf numFmtId="187" fontId="26" fillId="0" borderId="37" xfId="0" applyNumberFormat="1" applyFont="1" applyBorder="1" applyAlignment="1">
      <alignment horizontal="center" vertical="center" wrapText="1"/>
    </xf>
    <xf numFmtId="179" fontId="29" fillId="0" borderId="37" xfId="0" applyNumberFormat="1" applyFont="1" applyBorder="1" applyAlignment="1">
      <alignment vertical="center" wrapText="1"/>
    </xf>
    <xf numFmtId="38" fontId="24" fillId="0" borderId="20" xfId="1" applyFont="1" applyBorder="1" applyAlignment="1">
      <alignment vertical="center"/>
    </xf>
    <xf numFmtId="180" fontId="24" fillId="0" borderId="20" xfId="2" applyNumberFormat="1" applyFont="1" applyBorder="1" applyAlignment="1">
      <alignment horizontal="right" vertical="center"/>
    </xf>
    <xf numFmtId="0" fontId="23" fillId="0" borderId="20" xfId="0" applyFont="1" applyBorder="1" applyAlignment="1">
      <alignment horizontal="left" vertical="center" wrapText="1"/>
    </xf>
    <xf numFmtId="0" fontId="49" fillId="0" borderId="20" xfId="0" applyFont="1" applyBorder="1" applyAlignment="1">
      <alignment horizontal="center" vertical="center"/>
    </xf>
    <xf numFmtId="0" fontId="42" fillId="11" borderId="20" xfId="0" applyFont="1" applyFill="1" applyBorder="1" applyAlignment="1">
      <alignment horizontal="center" vertical="center"/>
    </xf>
    <xf numFmtId="38" fontId="23" fillId="0" borderId="20" xfId="1" applyFont="1" applyBorder="1" applyAlignment="1">
      <alignment vertical="center"/>
    </xf>
    <xf numFmtId="0" fontId="42" fillId="7" borderId="20" xfId="0" applyFont="1" applyFill="1" applyBorder="1" applyAlignment="1">
      <alignment horizontal="center" vertical="center"/>
    </xf>
    <xf numFmtId="187" fontId="26" fillId="7" borderId="37" xfId="0" applyNumberFormat="1" applyFont="1" applyFill="1" applyBorder="1" applyAlignment="1">
      <alignment horizontal="center" vertical="center" wrapText="1"/>
    </xf>
    <xf numFmtId="179" fontId="29" fillId="7" borderId="37" xfId="0" applyNumberFormat="1" applyFont="1" applyFill="1" applyBorder="1" applyAlignment="1">
      <alignment vertical="center" wrapText="1"/>
    </xf>
    <xf numFmtId="38" fontId="23" fillId="7" borderId="20" xfId="1" applyFont="1" applyFill="1" applyBorder="1" applyAlignment="1">
      <alignment horizontal="right" vertical="center"/>
    </xf>
    <xf numFmtId="180" fontId="24" fillId="7" borderId="20" xfId="2" applyNumberFormat="1" applyFont="1" applyFill="1" applyBorder="1" applyAlignment="1">
      <alignment horizontal="right" vertical="center"/>
    </xf>
    <xf numFmtId="0" fontId="23" fillId="7" borderId="20" xfId="0" applyFont="1" applyFill="1" applyBorder="1" applyAlignment="1">
      <alignment horizontal="left" vertical="center" wrapText="1"/>
    </xf>
    <xf numFmtId="38" fontId="23" fillId="0" borderId="20" xfId="1" applyFont="1" applyBorder="1" applyAlignment="1">
      <alignment horizontal="right" vertical="center"/>
    </xf>
    <xf numFmtId="0" fontId="42" fillId="11" borderId="10" xfId="0" applyFont="1" applyFill="1" applyBorder="1" applyAlignment="1">
      <alignment horizontal="center" vertical="center"/>
    </xf>
    <xf numFmtId="0" fontId="0" fillId="0" borderId="10" xfId="0" applyBorder="1" applyAlignment="1">
      <alignment horizontal="center" vertical="center"/>
    </xf>
    <xf numFmtId="187" fontId="26" fillId="0" borderId="43" xfId="0" applyNumberFormat="1" applyFont="1" applyBorder="1" applyAlignment="1">
      <alignment horizontal="center" vertical="center" wrapText="1"/>
    </xf>
    <xf numFmtId="0" fontId="26" fillId="0" borderId="43" xfId="0" applyFont="1" applyBorder="1" applyAlignment="1">
      <alignment vertical="center" wrapText="1"/>
    </xf>
    <xf numFmtId="0" fontId="29" fillId="0" borderId="43" xfId="0" applyFont="1" applyBorder="1" applyAlignment="1">
      <alignment vertical="center" wrapText="1"/>
    </xf>
    <xf numFmtId="179" fontId="29" fillId="0" borderId="43" xfId="0" applyNumberFormat="1" applyFont="1" applyBorder="1" applyAlignment="1">
      <alignment vertical="center" wrapText="1"/>
    </xf>
    <xf numFmtId="179" fontId="26" fillId="0" borderId="43" xfId="1" applyNumberFormat="1" applyFont="1" applyBorder="1" applyAlignment="1">
      <alignment vertical="center" wrapText="1"/>
    </xf>
    <xf numFmtId="180" fontId="26" fillId="0" borderId="43" xfId="2" applyNumberFormat="1" applyFont="1" applyBorder="1" applyAlignment="1">
      <alignment vertical="center" wrapText="1"/>
    </xf>
    <xf numFmtId="38" fontId="24" fillId="0" borderId="43" xfId="1" applyFont="1" applyBorder="1" applyAlignment="1">
      <alignment vertical="center"/>
    </xf>
    <xf numFmtId="38" fontId="24" fillId="0" borderId="43" xfId="1" applyFont="1" applyBorder="1" applyAlignment="1">
      <alignment horizontal="center" vertical="center"/>
    </xf>
    <xf numFmtId="38" fontId="23" fillId="0" borderId="10" xfId="1" applyFont="1" applyBorder="1" applyAlignment="1">
      <alignment horizontal="right" vertical="center"/>
    </xf>
    <xf numFmtId="180" fontId="24" fillId="0" borderId="10" xfId="2" applyNumberFormat="1" applyFont="1" applyBorder="1" applyAlignment="1">
      <alignment horizontal="right" vertical="center"/>
    </xf>
    <xf numFmtId="0" fontId="45" fillId="0" borderId="10" xfId="0" applyFont="1" applyBorder="1" applyAlignment="1">
      <alignment horizontal="center" vertical="center"/>
    </xf>
    <xf numFmtId="0" fontId="23" fillId="0" borderId="10" xfId="0" applyFont="1" applyBorder="1" applyAlignment="1">
      <alignment horizontal="left" vertical="center" wrapText="1"/>
    </xf>
    <xf numFmtId="0" fontId="49" fillId="0" borderId="10" xfId="0" applyFont="1" applyBorder="1" applyAlignment="1">
      <alignment horizontal="center" vertical="center"/>
    </xf>
    <xf numFmtId="9" fontId="24" fillId="0" borderId="20" xfId="2" applyFont="1" applyBorder="1" applyAlignment="1">
      <alignment vertical="center"/>
    </xf>
    <xf numFmtId="0" fontId="57" fillId="0" borderId="20" xfId="0" applyFont="1" applyBorder="1" applyAlignment="1">
      <alignment horizontal="center" vertical="center"/>
    </xf>
    <xf numFmtId="49" fontId="26" fillId="0" borderId="20" xfId="0" applyNumberFormat="1" applyFont="1" applyBorder="1" applyAlignment="1">
      <alignment horizontal="center" vertical="center" wrapText="1"/>
    </xf>
    <xf numFmtId="0" fontId="26" fillId="0" borderId="20" xfId="0" applyFont="1" applyBorder="1" applyAlignment="1">
      <alignment vertical="center" wrapText="1"/>
    </xf>
    <xf numFmtId="0" fontId="29" fillId="0" borderId="20" xfId="0" applyFont="1" applyBorder="1" applyAlignment="1">
      <alignment vertical="center" wrapText="1"/>
    </xf>
    <xf numFmtId="178" fontId="29" fillId="0" borderId="20" xfId="0" applyNumberFormat="1" applyFont="1" applyBorder="1" applyAlignment="1">
      <alignment vertical="center" wrapText="1"/>
    </xf>
    <xf numFmtId="179" fontId="26" fillId="0" borderId="20" xfId="1" applyNumberFormat="1" applyFont="1" applyBorder="1" applyAlignment="1">
      <alignment vertical="center" wrapText="1"/>
    </xf>
    <xf numFmtId="180" fontId="26" fillId="0" borderId="20" xfId="2" applyNumberFormat="1" applyFont="1" applyBorder="1" applyAlignment="1">
      <alignment vertical="center" wrapText="1"/>
    </xf>
    <xf numFmtId="38" fontId="24" fillId="0" borderId="20" xfId="1" applyFont="1" applyBorder="1" applyAlignment="1">
      <alignment horizontal="right" vertical="center"/>
    </xf>
    <xf numFmtId="0" fontId="23" fillId="22" borderId="20" xfId="0" applyFont="1" applyFill="1" applyBorder="1" applyAlignment="1">
      <alignment horizontal="center" vertical="center" wrapText="1"/>
    </xf>
    <xf numFmtId="0" fontId="26" fillId="22" borderId="20" xfId="0" applyFont="1" applyFill="1" applyBorder="1" applyAlignment="1">
      <alignment horizontal="left" vertical="center"/>
    </xf>
    <xf numFmtId="0" fontId="26" fillId="22" borderId="20" xfId="0" applyFont="1" applyFill="1" applyBorder="1" applyAlignment="1">
      <alignment horizontal="left" vertical="center" wrapText="1"/>
    </xf>
    <xf numFmtId="0" fontId="0" fillId="22" borderId="20" xfId="0" applyFill="1" applyBorder="1">
      <alignment vertical="center"/>
    </xf>
    <xf numFmtId="0" fontId="57" fillId="22" borderId="20" xfId="0" applyFont="1" applyFill="1" applyBorder="1" applyAlignment="1">
      <alignment horizontal="center" vertical="center"/>
    </xf>
    <xf numFmtId="49" fontId="26" fillId="22" borderId="20" xfId="0" applyNumberFormat="1" applyFont="1" applyFill="1" applyBorder="1" applyAlignment="1">
      <alignment horizontal="center" vertical="center" wrapText="1"/>
    </xf>
    <xf numFmtId="0" fontId="26" fillId="22" borderId="20" xfId="0" applyFont="1" applyFill="1" applyBorder="1" applyAlignment="1">
      <alignment vertical="center" wrapText="1"/>
    </xf>
    <xf numFmtId="0" fontId="29" fillId="22" borderId="20" xfId="0" applyFont="1" applyFill="1" applyBorder="1" applyAlignment="1">
      <alignment vertical="center" wrapText="1"/>
    </xf>
    <xf numFmtId="178" fontId="29" fillId="22" borderId="20" xfId="0" applyNumberFormat="1" applyFont="1" applyFill="1" applyBorder="1" applyAlignment="1">
      <alignment vertical="center" wrapText="1"/>
    </xf>
    <xf numFmtId="179" fontId="26" fillId="22" borderId="20" xfId="1" applyNumberFormat="1" applyFont="1" applyFill="1" applyBorder="1" applyAlignment="1">
      <alignment vertical="center" wrapText="1"/>
    </xf>
    <xf numFmtId="180" fontId="26" fillId="22" borderId="20" xfId="2" applyNumberFormat="1" applyFont="1" applyFill="1" applyBorder="1" applyAlignment="1">
      <alignment vertical="center" wrapText="1"/>
    </xf>
    <xf numFmtId="38" fontId="24" fillId="22" borderId="20" xfId="1" applyFont="1" applyFill="1" applyBorder="1" applyAlignment="1">
      <alignment vertical="center"/>
    </xf>
    <xf numFmtId="38" fontId="24" fillId="22" borderId="20" xfId="1" applyFont="1" applyFill="1" applyBorder="1" applyAlignment="1">
      <alignment horizontal="center" vertical="center"/>
    </xf>
    <xf numFmtId="38" fontId="23" fillId="22" borderId="20" xfId="1" applyFont="1" applyFill="1" applyBorder="1" applyAlignment="1">
      <alignment vertical="center"/>
    </xf>
    <xf numFmtId="38" fontId="23" fillId="22" borderId="20" xfId="1" applyFont="1" applyFill="1" applyBorder="1" applyAlignment="1">
      <alignment horizontal="right" vertical="center"/>
    </xf>
    <xf numFmtId="180" fontId="24" fillId="22" borderId="20" xfId="2" applyNumberFormat="1" applyFont="1" applyFill="1" applyBorder="1" applyAlignment="1">
      <alignment horizontal="right" vertical="center"/>
    </xf>
    <xf numFmtId="0" fontId="45" fillId="22" borderId="20" xfId="0" applyFont="1" applyFill="1" applyBorder="1">
      <alignment vertical="center"/>
    </xf>
    <xf numFmtId="0" fontId="57" fillId="0" borderId="37" xfId="0" applyFont="1" applyBorder="1" applyAlignment="1">
      <alignment horizontal="center" vertical="center"/>
    </xf>
    <xf numFmtId="0" fontId="36" fillId="0" borderId="20" xfId="3" applyFont="1" applyFill="1" applyBorder="1" applyAlignment="1">
      <alignment vertical="center" wrapText="1"/>
    </xf>
    <xf numFmtId="0" fontId="36" fillId="0" borderId="20" xfId="3" applyFont="1" applyBorder="1">
      <alignment vertical="center"/>
    </xf>
    <xf numFmtId="0" fontId="31" fillId="14" borderId="20" xfId="4" applyFont="1" applyFill="1" applyBorder="1" applyAlignment="1">
      <alignment vertical="center" wrapText="1"/>
    </xf>
    <xf numFmtId="0" fontId="0" fillId="14" borderId="20" xfId="0" applyFill="1" applyBorder="1">
      <alignment vertical="center"/>
    </xf>
    <xf numFmtId="38" fontId="44" fillId="0" borderId="20" xfId="1" applyFont="1" applyBorder="1" applyAlignment="1">
      <alignment horizontal="center" vertical="center"/>
    </xf>
    <xf numFmtId="38" fontId="0" fillId="0" borderId="0" xfId="0" applyNumberFormat="1">
      <alignment vertical="center"/>
    </xf>
    <xf numFmtId="38" fontId="23" fillId="0" borderId="0" xfId="1" applyFont="1" applyFill="1" applyBorder="1" applyAlignment="1">
      <alignment horizontal="right" vertical="center"/>
    </xf>
    <xf numFmtId="0" fontId="0" fillId="21" borderId="66" xfId="0" applyFill="1" applyBorder="1" applyAlignment="1">
      <alignment horizontal="center" vertical="center"/>
    </xf>
    <xf numFmtId="0" fontId="0" fillId="21" borderId="15" xfId="0" applyFill="1" applyBorder="1" applyAlignment="1">
      <alignment horizontal="left" vertical="center" wrapText="1"/>
    </xf>
    <xf numFmtId="0" fontId="0" fillId="21" borderId="15" xfId="0" applyFill="1" applyBorder="1" applyAlignment="1">
      <alignment horizontal="center" vertical="center"/>
    </xf>
    <xf numFmtId="0" fontId="0" fillId="21" borderId="15" xfId="0" applyFill="1" applyBorder="1" applyAlignment="1">
      <alignment horizontal="center" vertical="center" wrapText="1"/>
    </xf>
    <xf numFmtId="0" fontId="0" fillId="21" borderId="15" xfId="0" applyFill="1" applyBorder="1" applyAlignment="1">
      <alignment vertical="center" wrapText="1"/>
    </xf>
    <xf numFmtId="0" fontId="0" fillId="21" borderId="70" xfId="0" applyFill="1" applyBorder="1" applyAlignment="1">
      <alignment horizontal="center" vertical="center"/>
    </xf>
    <xf numFmtId="0" fontId="61" fillId="0" borderId="67" xfId="0" applyFont="1" applyBorder="1">
      <alignment vertical="center"/>
    </xf>
    <xf numFmtId="0" fontId="61" fillId="0" borderId="69" xfId="0" applyFont="1" applyBorder="1">
      <alignment vertical="center"/>
    </xf>
    <xf numFmtId="38" fontId="21" fillId="0" borderId="37" xfId="1" applyFont="1" applyBorder="1" applyAlignment="1">
      <alignment horizontal="right" vertical="center"/>
    </xf>
    <xf numFmtId="9" fontId="21" fillId="0" borderId="20" xfId="2" applyFont="1" applyBorder="1">
      <alignment vertical="center"/>
    </xf>
    <xf numFmtId="0" fontId="21" fillId="0" borderId="20" xfId="0" applyFont="1" applyBorder="1" applyAlignment="1">
      <alignment vertical="center" wrapText="1"/>
    </xf>
    <xf numFmtId="38" fontId="21" fillId="0" borderId="20" xfId="1" applyFont="1" applyBorder="1">
      <alignment vertical="center"/>
    </xf>
    <xf numFmtId="38" fontId="21" fillId="0" borderId="20" xfId="1" applyFont="1" applyBorder="1" applyAlignment="1">
      <alignment horizontal="right" vertical="center"/>
    </xf>
    <xf numFmtId="38" fontId="21" fillId="0" borderId="37" xfId="1" applyFont="1" applyBorder="1" applyAlignment="1">
      <alignment horizontal="center" vertical="center"/>
    </xf>
    <xf numFmtId="38" fontId="21" fillId="0" borderId="20" xfId="1" applyFont="1" applyBorder="1" applyAlignment="1">
      <alignment horizontal="center" vertical="center"/>
    </xf>
    <xf numFmtId="180" fontId="21" fillId="0" borderId="20" xfId="2" applyNumberFormat="1" applyFont="1" applyBorder="1" applyAlignment="1">
      <alignment horizontal="right" vertical="center"/>
    </xf>
    <xf numFmtId="179" fontId="21" fillId="0" borderId="37" xfId="1" applyNumberFormat="1" applyFont="1" applyBorder="1" applyAlignment="1">
      <alignment vertical="center" wrapText="1"/>
    </xf>
    <xf numFmtId="180" fontId="21" fillId="0" borderId="37" xfId="2" applyNumberFormat="1" applyFont="1" applyBorder="1" applyAlignment="1">
      <alignment vertical="center" wrapText="1"/>
    </xf>
    <xf numFmtId="0" fontId="21" fillId="0" borderId="20" xfId="0" applyFont="1" applyBorder="1" applyAlignment="1">
      <alignment horizontal="left" vertical="center" wrapText="1"/>
    </xf>
    <xf numFmtId="38" fontId="21" fillId="0" borderId="37" xfId="1" applyFont="1" applyBorder="1" applyAlignment="1">
      <alignment vertical="center"/>
    </xf>
    <xf numFmtId="9" fontId="21" fillId="0" borderId="20" xfId="2" applyFont="1" applyBorder="1" applyAlignment="1">
      <alignment vertical="center"/>
    </xf>
    <xf numFmtId="0" fontId="21" fillId="0" borderId="20" xfId="0" applyFont="1" applyBorder="1">
      <alignment vertical="center"/>
    </xf>
    <xf numFmtId="180" fontId="21" fillId="0" borderId="10" xfId="2" applyNumberFormat="1" applyFont="1" applyBorder="1" applyAlignment="1">
      <alignment horizontal="right" vertical="center"/>
    </xf>
    <xf numFmtId="178" fontId="21" fillId="0" borderId="37" xfId="0" applyNumberFormat="1" applyFont="1" applyBorder="1" applyAlignment="1">
      <alignment horizontal="right" vertical="center" wrapText="1"/>
    </xf>
    <xf numFmtId="0" fontId="21" fillId="0" borderId="68" xfId="0" applyFont="1" applyBorder="1" applyAlignment="1">
      <alignment vertical="center" wrapText="1"/>
    </xf>
    <xf numFmtId="178" fontId="21" fillId="0" borderId="20" xfId="0" applyNumberFormat="1" applyFont="1" applyBorder="1" applyAlignment="1">
      <alignment vertical="center" wrapText="1"/>
    </xf>
    <xf numFmtId="0" fontId="60" fillId="0" borderId="0" xfId="0" applyFont="1" applyFill="1" applyBorder="1">
      <alignment vertical="center"/>
    </xf>
    <xf numFmtId="179" fontId="21" fillId="0" borderId="72" xfId="1" applyNumberFormat="1" applyFont="1" applyBorder="1" applyAlignment="1">
      <alignment vertical="center" wrapText="1"/>
    </xf>
    <xf numFmtId="180" fontId="21" fillId="0" borderId="68" xfId="2" applyNumberFormat="1" applyFont="1" applyBorder="1" applyAlignment="1">
      <alignment horizontal="right" vertical="center"/>
    </xf>
    <xf numFmtId="0" fontId="62" fillId="0" borderId="47" xfId="0" applyFont="1" applyBorder="1" applyAlignment="1">
      <alignment vertical="center" wrapText="1"/>
    </xf>
    <xf numFmtId="0" fontId="62" fillId="0" borderId="71" xfId="0" applyFont="1" applyBorder="1" applyAlignment="1">
      <alignment vertical="center" wrapText="1"/>
    </xf>
    <xf numFmtId="0" fontId="62" fillId="18" borderId="71" xfId="0" applyFont="1" applyFill="1" applyBorder="1" applyAlignment="1">
      <alignment vertical="center" wrapText="1"/>
    </xf>
    <xf numFmtId="0" fontId="57" fillId="0" borderId="0" xfId="0" applyFont="1">
      <alignment vertical="center"/>
    </xf>
    <xf numFmtId="0" fontId="61" fillId="0" borderId="67" xfId="0" applyFont="1" applyBorder="1" applyAlignment="1">
      <alignment vertical="center" wrapText="1"/>
    </xf>
    <xf numFmtId="0" fontId="21" fillId="0" borderId="37" xfId="0" applyFont="1" applyBorder="1" applyAlignment="1">
      <alignment vertical="center" wrapText="1"/>
    </xf>
    <xf numFmtId="180" fontId="21" fillId="0" borderId="37" xfId="2" applyNumberFormat="1" applyFont="1" applyFill="1" applyBorder="1" applyAlignment="1">
      <alignment vertical="center" wrapText="1"/>
    </xf>
    <xf numFmtId="0" fontId="21" fillId="0" borderId="37" xfId="0" applyFont="1" applyFill="1" applyBorder="1" applyAlignment="1">
      <alignment vertical="center" wrapText="1"/>
    </xf>
    <xf numFmtId="38" fontId="21" fillId="0" borderId="37" xfId="1" quotePrefix="1" applyFont="1" applyBorder="1" applyAlignment="1">
      <alignment vertical="center"/>
    </xf>
    <xf numFmtId="38" fontId="66" fillId="0" borderId="20" xfId="1" applyFont="1" applyBorder="1" applyAlignment="1">
      <alignment horizontal="center" vertical="center"/>
    </xf>
    <xf numFmtId="178" fontId="21" fillId="0" borderId="37" xfId="0" applyNumberFormat="1" applyFont="1" applyBorder="1" applyAlignment="1">
      <alignment horizontal="center" vertical="center" wrapText="1"/>
    </xf>
    <xf numFmtId="0" fontId="21" fillId="18" borderId="37" xfId="0" applyFont="1" applyFill="1" applyBorder="1" applyAlignment="1">
      <alignment vertical="center" wrapText="1"/>
    </xf>
    <xf numFmtId="0" fontId="21" fillId="23" borderId="37" xfId="0" applyFont="1" applyFill="1" applyBorder="1" applyAlignment="1">
      <alignment vertical="center" wrapText="1"/>
    </xf>
    <xf numFmtId="0" fontId="21" fillId="0" borderId="68" xfId="0" applyFont="1" applyBorder="1">
      <alignment vertical="center"/>
    </xf>
    <xf numFmtId="0" fontId="62" fillId="0" borderId="47" xfId="0" applyFont="1" applyFill="1" applyBorder="1" applyAlignment="1">
      <alignment vertical="center" wrapText="1"/>
    </xf>
    <xf numFmtId="0" fontId="62" fillId="0" borderId="74" xfId="0" applyFont="1" applyFill="1" applyBorder="1" applyAlignment="1">
      <alignment vertical="center" wrapText="1"/>
    </xf>
    <xf numFmtId="0" fontId="21" fillId="0" borderId="68" xfId="0" applyFont="1" applyBorder="1" applyAlignment="1">
      <alignment horizontal="left" vertical="center" wrapText="1"/>
    </xf>
    <xf numFmtId="178" fontId="21" fillId="0" borderId="72" xfId="0" applyNumberFormat="1" applyFont="1" applyBorder="1" applyAlignment="1">
      <alignment horizontal="center" vertical="center" wrapText="1"/>
    </xf>
    <xf numFmtId="38" fontId="21" fillId="0" borderId="72" xfId="1" applyFont="1" applyBorder="1" applyAlignment="1">
      <alignment horizontal="right" vertical="center"/>
    </xf>
    <xf numFmtId="38" fontId="21" fillId="0" borderId="68" xfId="1" applyFont="1" applyBorder="1" applyAlignment="1">
      <alignment horizontal="right" vertical="center"/>
    </xf>
    <xf numFmtId="0" fontId="0" fillId="0" borderId="44" xfId="0" applyBorder="1" applyAlignment="1">
      <alignment horizontal="left" vertical="center" wrapText="1"/>
    </xf>
    <xf numFmtId="0" fontId="0" fillId="0" borderId="0" xfId="0" applyAlignment="1">
      <alignment horizontal="left" vertical="center" wrapText="1"/>
    </xf>
    <xf numFmtId="0" fontId="25" fillId="0" borderId="10"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45" xfId="0" applyFont="1" applyBorder="1" applyAlignment="1">
      <alignment horizontal="center" vertical="center" wrapText="1"/>
    </xf>
    <xf numFmtId="0" fontId="0" fillId="0" borderId="0" xfId="0" applyAlignment="1">
      <alignment horizontal="center" vertical="center" wrapText="1"/>
    </xf>
    <xf numFmtId="0" fontId="26" fillId="0" borderId="10" xfId="0" applyFont="1" applyFill="1" applyBorder="1" applyAlignment="1">
      <alignment horizontal="center" vertical="center" wrapText="1"/>
    </xf>
    <xf numFmtId="0" fontId="26" fillId="0" borderId="42" xfId="0" applyFont="1" applyFill="1" applyBorder="1" applyAlignment="1">
      <alignment horizontal="center" vertical="center" wrapText="1"/>
    </xf>
    <xf numFmtId="0" fontId="26" fillId="0" borderId="45" xfId="0" applyFont="1" applyFill="1" applyBorder="1" applyAlignment="1">
      <alignment horizontal="center" vertical="center" wrapText="1"/>
    </xf>
    <xf numFmtId="0" fontId="25" fillId="0" borderId="10" xfId="0" applyFont="1" applyBorder="1" applyAlignment="1">
      <alignment horizontal="center" vertical="center"/>
    </xf>
    <xf numFmtId="0" fontId="25" fillId="0" borderId="42" xfId="0" applyFont="1" applyBorder="1" applyAlignment="1">
      <alignment horizontal="center" vertical="center"/>
    </xf>
    <xf numFmtId="0" fontId="25" fillId="0" borderId="45" xfId="0" applyFont="1" applyBorder="1" applyAlignment="1">
      <alignment horizontal="center" vertical="center"/>
    </xf>
    <xf numFmtId="0" fontId="27" fillId="11" borderId="64" xfId="0" applyFont="1" applyFill="1" applyBorder="1" applyAlignment="1">
      <alignment horizontal="left" vertical="top" wrapText="1"/>
    </xf>
    <xf numFmtId="0" fontId="27" fillId="11" borderId="65" xfId="0" applyFont="1" applyFill="1" applyBorder="1" applyAlignment="1">
      <alignment horizontal="left" vertical="top" wrapText="1"/>
    </xf>
    <xf numFmtId="0" fontId="27" fillId="11" borderId="62" xfId="0" applyFont="1" applyFill="1" applyBorder="1" applyAlignment="1">
      <alignment horizontal="left" vertical="top" wrapText="1"/>
    </xf>
    <xf numFmtId="0" fontId="27" fillId="11" borderId="63" xfId="0" applyFont="1" applyFill="1" applyBorder="1" applyAlignment="1">
      <alignment horizontal="left" vertical="top" wrapText="1"/>
    </xf>
    <xf numFmtId="0" fontId="24" fillId="0" borderId="42" xfId="0" applyFont="1" applyBorder="1" applyAlignment="1">
      <alignment horizontal="left" vertical="center" wrapText="1"/>
    </xf>
    <xf numFmtId="0" fontId="0" fillId="0" borderId="42" xfId="0" applyBorder="1" applyAlignment="1">
      <alignment horizontal="left" vertical="center" wrapText="1"/>
    </xf>
    <xf numFmtId="0" fontId="0" fillId="0" borderId="42" xfId="0" applyBorder="1" applyAlignment="1">
      <alignment horizontal="center" vertical="center" wrapText="1"/>
    </xf>
    <xf numFmtId="0" fontId="0" fillId="0" borderId="45" xfId="0" applyBorder="1" applyAlignment="1">
      <alignment horizontal="center" vertical="center" wrapText="1"/>
    </xf>
    <xf numFmtId="0" fontId="25" fillId="0" borderId="10" xfId="0" applyFont="1" applyBorder="1" applyAlignment="1">
      <alignment horizontal="center" vertical="center" textRotation="255"/>
    </xf>
    <xf numFmtId="0" fontId="25" fillId="0" borderId="42" xfId="0" applyFont="1" applyBorder="1" applyAlignment="1">
      <alignment horizontal="center" vertical="center" textRotation="255"/>
    </xf>
    <xf numFmtId="0" fontId="25" fillId="0" borderId="45" xfId="0" applyFont="1" applyBorder="1" applyAlignment="1">
      <alignment horizontal="center" vertical="center" textRotation="255"/>
    </xf>
    <xf numFmtId="0" fontId="23" fillId="0" borderId="10" xfId="0" applyFont="1" applyBorder="1" applyAlignment="1">
      <alignment horizontal="left" vertical="center" wrapText="1"/>
    </xf>
    <xf numFmtId="0" fontId="23" fillId="0" borderId="42" xfId="0" applyFont="1" applyBorder="1" applyAlignment="1">
      <alignment horizontal="left" vertical="center" wrapText="1"/>
    </xf>
    <xf numFmtId="0" fontId="0" fillId="0" borderId="10" xfId="0" applyBorder="1" applyAlignment="1">
      <alignment horizontal="center" vertical="center" wrapText="1"/>
    </xf>
    <xf numFmtId="0" fontId="0" fillId="0" borderId="44" xfId="0" applyBorder="1" applyAlignment="1">
      <alignment horizontal="center" vertical="center" wrapText="1"/>
    </xf>
    <xf numFmtId="0" fontId="26" fillId="0" borderId="10" xfId="0" applyFont="1" applyFill="1" applyBorder="1" applyAlignment="1">
      <alignment horizontal="center" vertical="center"/>
    </xf>
    <xf numFmtId="0" fontId="26" fillId="0" borderId="42" xfId="0" applyFont="1" applyFill="1" applyBorder="1" applyAlignment="1">
      <alignment horizontal="center" vertical="center"/>
    </xf>
    <xf numFmtId="0" fontId="26" fillId="0" borderId="45" xfId="0" applyFont="1" applyFill="1" applyBorder="1" applyAlignment="1">
      <alignment horizontal="center" vertical="center"/>
    </xf>
    <xf numFmtId="0" fontId="25" fillId="11" borderId="10" xfId="0" applyFont="1" applyFill="1" applyBorder="1" applyAlignment="1">
      <alignment horizontal="center" vertical="center" textRotation="255" wrapText="1"/>
    </xf>
    <xf numFmtId="0" fontId="25" fillId="11" borderId="42" xfId="0" applyFont="1" applyFill="1" applyBorder="1" applyAlignment="1">
      <alignment horizontal="center" vertical="center" textRotation="255" wrapText="1"/>
    </xf>
    <xf numFmtId="0" fontId="25" fillId="11" borderId="45" xfId="0" applyFont="1" applyFill="1" applyBorder="1" applyAlignment="1">
      <alignment horizontal="center" vertical="center" textRotation="255" wrapText="1"/>
    </xf>
    <xf numFmtId="0" fontId="0" fillId="0" borderId="10" xfId="0" applyBorder="1" applyAlignment="1">
      <alignment horizontal="center" vertical="center"/>
    </xf>
    <xf numFmtId="0" fontId="0" fillId="0" borderId="42" xfId="0" applyBorder="1" applyAlignment="1">
      <alignment horizontal="center" vertical="center"/>
    </xf>
    <xf numFmtId="0" fontId="0" fillId="0" borderId="45" xfId="0" applyBorder="1" applyAlignment="1">
      <alignment horizontal="center" vertical="center"/>
    </xf>
    <xf numFmtId="0" fontId="8" fillId="2" borderId="25" xfId="0" applyFont="1" applyFill="1" applyBorder="1" applyAlignment="1">
      <alignment vertical="center" wrapText="1"/>
    </xf>
    <xf numFmtId="0" fontId="0" fillId="0" borderId="26" xfId="0" applyBorder="1" applyAlignment="1">
      <alignment vertical="center"/>
    </xf>
    <xf numFmtId="0" fontId="0" fillId="0" borderId="27" xfId="0" applyBorder="1" applyAlignment="1">
      <alignment vertical="center"/>
    </xf>
    <xf numFmtId="0" fontId="20" fillId="0" borderId="0" xfId="0" applyFont="1" applyAlignment="1">
      <alignment horizontal="center" vertical="center"/>
    </xf>
    <xf numFmtId="0" fontId="0" fillId="2" borderId="17" xfId="0" applyFont="1" applyFill="1" applyBorder="1" applyAlignment="1">
      <alignment vertical="center" wrapText="1"/>
    </xf>
    <xf numFmtId="0" fontId="0" fillId="0" borderId="18" xfId="0" applyBorder="1" applyAlignment="1">
      <alignment vertical="center"/>
    </xf>
    <xf numFmtId="0" fontId="0" fillId="0" borderId="19" xfId="0" applyBorder="1" applyAlignment="1">
      <alignment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27" xfId="0" applyFont="1" applyFill="1" applyBorder="1" applyAlignment="1">
      <alignment horizontal="center" vertical="center"/>
    </xf>
    <xf numFmtId="0" fontId="19" fillId="2" borderId="41" xfId="0" applyFont="1" applyFill="1" applyBorder="1" applyAlignment="1">
      <alignment vertical="center" wrapText="1"/>
    </xf>
    <xf numFmtId="0" fontId="0" fillId="0" borderId="30" xfId="0" applyBorder="1" applyAlignment="1">
      <alignment vertical="center"/>
    </xf>
    <xf numFmtId="0" fontId="0" fillId="0" borderId="6" xfId="0" applyBorder="1" applyAlignment="1">
      <alignment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0" xfId="0" applyFont="1" applyBorder="1" applyAlignment="1">
      <alignment horizontal="center" vertical="center"/>
    </xf>
    <xf numFmtId="0" fontId="18" fillId="9" borderId="17" xfId="0" applyFont="1" applyFill="1" applyBorder="1" applyAlignment="1">
      <alignment vertical="center" wrapText="1"/>
    </xf>
    <xf numFmtId="0" fontId="9" fillId="8" borderId="17" xfId="0" applyFont="1" applyFill="1" applyBorder="1" applyAlignment="1">
      <alignment vertical="center" wrapText="1"/>
    </xf>
    <xf numFmtId="0" fontId="19" fillId="2" borderId="17" xfId="0" applyFont="1" applyFill="1" applyBorder="1" applyAlignment="1">
      <alignment vertical="center" wrapText="1"/>
    </xf>
    <xf numFmtId="0" fontId="9" fillId="0" borderId="25" xfId="0" applyFont="1" applyBorder="1" applyAlignment="1">
      <alignment vertical="center" wrapText="1"/>
    </xf>
    <xf numFmtId="0" fontId="7" fillId="0" borderId="5" xfId="0" applyFont="1" applyBorder="1" applyAlignment="1">
      <alignment horizontal="center" vertical="center"/>
    </xf>
    <xf numFmtId="0" fontId="11" fillId="4" borderId="17" xfId="0" applyFont="1" applyFill="1" applyBorder="1" applyAlignment="1">
      <alignment vertical="center" wrapText="1"/>
    </xf>
    <xf numFmtId="0" fontId="11" fillId="0" borderId="22" xfId="0" applyFont="1" applyBorder="1" applyAlignment="1">
      <alignment vertical="center" wrapText="1"/>
    </xf>
    <xf numFmtId="0" fontId="0" fillId="0" borderId="23" xfId="0" applyBorder="1" applyAlignment="1">
      <alignment vertical="center"/>
    </xf>
    <xf numFmtId="0" fontId="0" fillId="0" borderId="24" xfId="0" applyBorder="1" applyAlignment="1">
      <alignment vertical="center"/>
    </xf>
    <xf numFmtId="0" fontId="9" fillId="0" borderId="17" xfId="0" applyFont="1" applyBorder="1" applyAlignment="1">
      <alignment vertical="center" wrapText="1"/>
    </xf>
    <xf numFmtId="0" fontId="0" fillId="0" borderId="8" xfId="0" applyBorder="1" applyAlignment="1">
      <alignment horizontal="center" vertical="center"/>
    </xf>
    <xf numFmtId="0" fontId="0" fillId="0" borderId="0" xfId="0" applyAlignment="1">
      <alignment horizontal="center" vertical="center"/>
    </xf>
    <xf numFmtId="0" fontId="9" fillId="6" borderId="17" xfId="0" applyFont="1" applyFill="1" applyBorder="1" applyAlignment="1">
      <alignment vertical="center" wrapText="1"/>
    </xf>
    <xf numFmtId="0" fontId="11" fillId="0" borderId="17" xfId="0" applyFont="1" applyBorder="1" applyAlignment="1">
      <alignment vertical="center" wrapText="1"/>
    </xf>
    <xf numFmtId="0" fontId="9" fillId="5" borderId="12" xfId="0" applyFont="1" applyFill="1" applyBorder="1" applyAlignment="1">
      <alignment vertical="center" wrapText="1"/>
    </xf>
    <xf numFmtId="0" fontId="0" fillId="5" borderId="13" xfId="0" applyFill="1" applyBorder="1" applyAlignment="1">
      <alignment vertical="center"/>
    </xf>
    <xf numFmtId="0" fontId="0" fillId="5" borderId="14" xfId="0" applyFill="1" applyBorder="1" applyAlignment="1">
      <alignment vertical="center"/>
    </xf>
    <xf numFmtId="0" fontId="9" fillId="3" borderId="12" xfId="0" applyFont="1" applyFill="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0" fontId="15" fillId="3" borderId="12"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8" fillId="0" borderId="7" xfId="0" applyFont="1" applyBorder="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58" fillId="0" borderId="0" xfId="0" applyFont="1" applyAlignment="1">
      <alignment horizontal="center" vertical="center"/>
    </xf>
    <xf numFmtId="0" fontId="59" fillId="0" borderId="0" xfId="0" applyFont="1" applyBorder="1" applyAlignment="1">
      <alignment horizontal="center" vertical="center"/>
    </xf>
    <xf numFmtId="0" fontId="65" fillId="0" borderId="0" xfId="0" applyFont="1" applyAlignment="1">
      <alignment horizontal="center" vertical="center"/>
    </xf>
    <xf numFmtId="0" fontId="65" fillId="0" borderId="73" xfId="0" applyFont="1" applyBorder="1" applyAlignment="1">
      <alignment horizontal="center" vertical="center"/>
    </xf>
    <xf numFmtId="0" fontId="63" fillId="0" borderId="0" xfId="0" applyFont="1" applyFill="1" applyAlignment="1">
      <alignment horizontal="center" vertical="center"/>
    </xf>
    <xf numFmtId="0" fontId="64" fillId="0" borderId="0" xfId="0" applyFont="1" applyAlignment="1">
      <alignment horizontal="center" vertical="center"/>
    </xf>
  </cellXfs>
  <cellStyles count="11">
    <cellStyle name="パーセント" xfId="2" builtinId="5"/>
    <cellStyle name="パーセント 2" xfId="7"/>
    <cellStyle name="パーセント 3" xfId="8"/>
    <cellStyle name="桁区切り" xfId="1" builtinId="6"/>
    <cellStyle name="桁区切り 2" xfId="5"/>
    <cellStyle name="桁区切り 3" xfId="9"/>
    <cellStyle name="標準" xfId="0" builtinId="0"/>
    <cellStyle name="標準 2" xfId="6"/>
    <cellStyle name="標準 3" xfId="3"/>
    <cellStyle name="標準 4" xfId="10"/>
    <cellStyle name="標準_１６７調査票４案件best100（再検討）0914提出用" xfId="4"/>
  </cellStyles>
  <dxfs count="30">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46552</xdr:colOff>
      <xdr:row>29</xdr:row>
      <xdr:rowOff>118593</xdr:rowOff>
    </xdr:from>
    <xdr:to>
      <xdr:col>23</xdr:col>
      <xdr:colOff>85726</xdr:colOff>
      <xdr:row>29</xdr:row>
      <xdr:rowOff>123825</xdr:rowOff>
    </xdr:to>
    <xdr:cxnSp macro="">
      <xdr:nvCxnSpPr>
        <xdr:cNvPr id="2" name="直線矢印コネクタ 1"/>
        <xdr:cNvCxnSpPr/>
      </xdr:nvCxnSpPr>
      <xdr:spPr>
        <a:xfrm rot="10800000">
          <a:off x="19125127" y="6443193"/>
          <a:ext cx="5087424" cy="5232"/>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10614/Application%20Data/Microsoft/Excel/&#12487;&#12473;&#12463;12&#2637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35;&#26619;&#9312;&#38543;&#24847;&#22865;&#32004;&#32202;&#24613;&#28857;&#26908;/&#24179;&#25104;21&#24180;&#24230;&#32113;&#35336;&#65286;&#65420;&#65387;&#65435;&#65392;&#65393;&#65391;&#65420;&#65439;/H21&#32113;&#35336;&#65286;&#65420;&#65387;&#65435;&#65392;&#65393;&#65391;&#65420;&#654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0435;&#26619;&#9312;&#38543;&#24847;&#22865;&#32004;&#32202;&#24613;&#28857;&#26908;/&#24179;&#25104;&#65298;&#65297;&#24180;&#24230;&#12395;&#32224;&#32080;&#12375;&#12383;&#12300;&#31478;&#20105;&#24615;&#12398;&#12394;&#12356;&#38543;&#24847;&#22865;&#32004;&#12301;&#12398;&#20844;&#34920;/&#21152;&#24037;&#29992;&#9733;&#65318;&#65333;&#65298;&#65298;&#65288;20&#26085;&#33391;&#22826;&#25351;&#25688;&#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月集計"/>
      <sheetName val="入札（物品役務・公共工事）"/>
      <sheetName val="随契（物品役務・公共工事））"/>
      <sheetName val="随契（秘契約）"/>
      <sheetName val="随契（物品役務・公共工事）） FU"/>
    </sheetNames>
    <sheetDataSet>
      <sheetData sheetId="0" refreshError="1"/>
      <sheetData sheetId="1" refreshError="1"/>
      <sheetData sheetId="2">
        <row r="6">
          <cell r="AP6" t="str">
            <v>○</v>
          </cell>
        </row>
        <row r="7">
          <cell r="AP7" t="str">
            <v>×</v>
          </cell>
        </row>
      </sheetData>
      <sheetData sheetId="3">
        <row r="5">
          <cell r="AJ5" t="str">
            <v>○</v>
          </cell>
        </row>
        <row r="6">
          <cell r="AJ6" t="str">
            <v>×</v>
          </cell>
        </row>
      </sheetData>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17ｰ21比較"/>
      <sheetName val="集計(統計)"/>
      <sheetName val="入札(物品役務)"/>
      <sheetName val="入札(公共工事)"/>
      <sheetName val="随契（統計用） "/>
      <sheetName val="秘随契統計"/>
    </sheetNames>
    <sheetDataSet>
      <sheetData sheetId="0">
        <row r="41">
          <cell r="L41">
            <v>534</v>
          </cell>
        </row>
      </sheetData>
      <sheetData sheetId="1">
        <row r="6">
          <cell r="D6">
            <v>403</v>
          </cell>
        </row>
        <row r="49">
          <cell r="J49">
            <v>0</v>
          </cell>
        </row>
        <row r="57">
          <cell r="I57">
            <v>0</v>
          </cell>
          <cell r="J57">
            <v>0</v>
          </cell>
        </row>
        <row r="58">
          <cell r="I58">
            <v>0</v>
          </cell>
          <cell r="J58">
            <v>0</v>
          </cell>
        </row>
        <row r="59">
          <cell r="I59">
            <v>0</v>
          </cell>
        </row>
        <row r="60">
          <cell r="I60">
            <v>0</v>
          </cell>
          <cell r="J60">
            <v>0</v>
          </cell>
        </row>
      </sheetData>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随契（物品役務・公共工事）） FU"/>
      <sheetName val="17見直し計画"/>
      <sheetName val="①～⑥区分"/>
    </sheetNames>
    <sheetDataSet>
      <sheetData sheetId="0" refreshError="1"/>
      <sheetData sheetId="1">
        <row r="50">
          <cell r="A50" t="str">
            <v>法1</v>
          </cell>
          <cell r="B50">
            <v>1</v>
          </cell>
          <cell r="C50" t="str">
            <v>ﾄﾞｸﾘﾂｺｸﾘﾂｲﾝｻﾂ</v>
          </cell>
          <cell r="D50">
            <v>1</v>
          </cell>
          <cell r="F50" t="str">
            <v>独立行政法人国立印刷局</v>
          </cell>
          <cell r="H50" t="str">
            <v>ＡＢＴＣ（ＡＰＥＣビジネス・トラベル・カード）の作成（単価契約）</v>
          </cell>
          <cell r="I50" t="str">
            <v>外務省大臣官房
会計課長
上月豊久
東京都千代田区
霞が関２－２－１</v>
          </cell>
          <cell r="J50" t="str">
            <v>平成17/04/01</v>
          </cell>
          <cell r="K50">
            <v>5200000</v>
          </cell>
          <cell r="L50" t="str">
            <v>ＡＢＴＣは国際規格が決まっており、我が国において右規格に定められた偽造防止技術の使用権を有するのは（独）国立印刷局のみであることから、右の者と契約する以外選択肢がない（会計法第２９条の３第４項）。</v>
          </cell>
          <cell r="M50" t="str">
            <v>見直しの余地があるもの</v>
          </cell>
          <cell r="N50" t="str">
            <v>一般競争入札等に移行するための準備に時間を要するもの（１９年度以降において公募実施、但し関係国の同意が必要）</v>
          </cell>
          <cell r="O50" t="str">
            <v>単価契約</v>
          </cell>
          <cell r="P50" t="str">
            <v>法×</v>
          </cell>
          <cell r="Q50" t="str">
            <v>法</v>
          </cell>
          <cell r="S50" t="str">
            <v>法19②</v>
          </cell>
          <cell r="U50" t="str">
            <v>法</v>
          </cell>
          <cell r="X50" t="str">
            <v>②</v>
          </cell>
          <cell r="AA50">
            <v>1700251</v>
          </cell>
          <cell r="AB50">
            <v>1</v>
          </cell>
          <cell r="AC50" t="str">
            <v>17S210</v>
          </cell>
          <cell r="AD50" t="str">
            <v>無指定</v>
          </cell>
          <cell r="AE50" t="str">
            <v>経政</v>
          </cell>
          <cell r="AF50" t="str">
            <v>会計課調達室／物品調達班</v>
          </cell>
          <cell r="AG50" t="str">
            <v>宮田</v>
          </cell>
        </row>
        <row r="51">
          <cell r="A51" t="str">
            <v>法2</v>
          </cell>
          <cell r="B51">
            <v>2</v>
          </cell>
          <cell r="C51" t="str">
            <v>ﾄﾞｸﾘﾂｺｸﾘﾂｲﾝｻﾂ</v>
          </cell>
          <cell r="D51">
            <v>2</v>
          </cell>
          <cell r="F51" t="str">
            <v>独立行政法人　国立印刷局</v>
          </cell>
          <cell r="H51" t="str">
            <v>官報公告掲載契約（単価契約）</v>
          </cell>
          <cell r="I51" t="str">
            <v>外務省大臣官房
会計課長
上月豊久
東京都千代田区
霞が関２－２－１</v>
          </cell>
          <cell r="J51" t="str">
            <v>平成17/04/01</v>
          </cell>
          <cell r="K51">
            <v>7170000</v>
          </cell>
          <cell r="L51" t="str">
            <v>契約可能な相手が（独）国立印刷局以外になく、他に競争を許さない（会計法第２９条の３第４項）。</v>
          </cell>
          <cell r="M51" t="str">
            <v>その他のもの</v>
          </cell>
          <cell r="N51" t="str">
            <v>ー
（随意契約によらざるを得ないもの）</v>
          </cell>
          <cell r="O51" t="str">
            <v>単価契約</v>
          </cell>
          <cell r="P51" t="str">
            <v>法×</v>
          </cell>
          <cell r="Q51" t="str">
            <v>法</v>
          </cell>
          <cell r="S51" t="str">
            <v>法1</v>
          </cell>
          <cell r="U51" t="str">
            <v>法</v>
          </cell>
          <cell r="V51" t="str">
            <v>●</v>
          </cell>
          <cell r="AA51">
            <v>1700286</v>
          </cell>
          <cell r="AB51">
            <v>1</v>
          </cell>
          <cell r="AC51" t="str">
            <v>17Q174</v>
          </cell>
          <cell r="AD51" t="str">
            <v>無指定</v>
          </cell>
          <cell r="AE51" t="str">
            <v>会</v>
          </cell>
          <cell r="AF51" t="str">
            <v>会計課調達室／物品調達班</v>
          </cell>
          <cell r="AG51" t="str">
            <v>宮田</v>
          </cell>
          <cell r="AI51" t="str">
            <v>官報、法律案、予算案等の印刷業務</v>
          </cell>
          <cell r="AJ51" t="str">
            <v>ハ</v>
          </cell>
        </row>
        <row r="52">
          <cell r="A52" t="str">
            <v>法3</v>
          </cell>
          <cell r="B52">
            <v>3</v>
          </cell>
          <cell r="C52" t="str">
            <v>ﾄﾞｸﾘﾂｺｸﾘﾂｲﾝｻﾂ</v>
          </cell>
          <cell r="D52">
            <v>3</v>
          </cell>
          <cell r="F52" t="str">
            <v>独立行政法人　　国立印刷局</v>
          </cell>
          <cell r="H52" t="str">
            <v>平成１７年度「外務省専門職員採用試験問題」の印刷（単価契約）</v>
          </cell>
          <cell r="I52" t="str">
            <v>外務省大臣官房
会計課長
上月豊久
東京都千代田区
霞が関２－２－１</v>
          </cell>
          <cell r="J52" t="str">
            <v>平成17/04/01</v>
          </cell>
          <cell r="K52">
            <v>1600160</v>
          </cell>
          <cell r="L52" t="str">
            <v>国民との関係において公正を確保すること、内容の保秘を徹底することが不可欠であるため、民間業者への委託は不可能（会計法第２９条の３第４項）。</v>
          </cell>
          <cell r="M52" t="str">
            <v>その他のもの</v>
          </cell>
          <cell r="N52" t="str">
            <v>ー
（随意契約によらざるを得ないもの）</v>
          </cell>
          <cell r="O52" t="str">
            <v>単価契約</v>
          </cell>
          <cell r="P52" t="str">
            <v>法×</v>
          </cell>
          <cell r="Q52" t="str">
            <v>法</v>
          </cell>
          <cell r="S52" t="str">
            <v>法1</v>
          </cell>
          <cell r="U52" t="str">
            <v>法</v>
          </cell>
          <cell r="V52" t="str">
            <v>●</v>
          </cell>
          <cell r="AA52">
            <v>1700355</v>
          </cell>
          <cell r="AB52">
            <v>1</v>
          </cell>
          <cell r="AC52" t="str">
            <v>17Q253</v>
          </cell>
          <cell r="AD52" t="str">
            <v>無指定</v>
          </cell>
          <cell r="AE52" t="str">
            <v>人</v>
          </cell>
          <cell r="AF52" t="str">
            <v>会計課調達室／物品調達班</v>
          </cell>
          <cell r="AG52" t="str">
            <v>加藤</v>
          </cell>
        </row>
        <row r="53">
          <cell r="A53" t="str">
            <v>法4</v>
          </cell>
          <cell r="B53">
            <v>4</v>
          </cell>
          <cell r="C53" t="str">
            <v>ﾄﾞｸﾘﾂｺｸﾘﾂｲﾝｻﾂ</v>
          </cell>
          <cell r="D53">
            <v>4</v>
          </cell>
          <cell r="F53" t="str">
            <v>独立行政法人 国立印刷局</v>
          </cell>
          <cell r="H53" t="str">
            <v>「政府開発援助（ＯＤＡ）白書２００５年版（仮称）」作成（企画招請）</v>
          </cell>
          <cell r="I53" t="str">
            <v>外務省大臣官房
会計課長
上月豊久
東京都千代田区
霞が関２－２－１</v>
          </cell>
          <cell r="J53" t="str">
            <v>平成17/05/13</v>
          </cell>
          <cell r="K53">
            <v>13500000</v>
          </cell>
          <cell r="L53"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53" t="str">
            <v>見直しの余地があるもの</v>
          </cell>
          <cell r="N53" t="str">
            <v>一般競争入札等に移行したもの（企画招請実施）</v>
          </cell>
          <cell r="P53" t="str">
            <v>法○</v>
          </cell>
          <cell r="Q53" t="str">
            <v>法</v>
          </cell>
          <cell r="R53" t="str">
            <v>○</v>
          </cell>
          <cell r="S53" t="str">
            <v>法18②</v>
          </cell>
          <cell r="U53" t="str">
            <v>法</v>
          </cell>
          <cell r="W53" t="str">
            <v>②</v>
          </cell>
          <cell r="AA53">
            <v>1700415</v>
          </cell>
          <cell r="AB53">
            <v>1</v>
          </cell>
          <cell r="AC53" t="str">
            <v>17S231</v>
          </cell>
          <cell r="AD53" t="str">
            <v>取扱注意</v>
          </cell>
          <cell r="AE53" t="str">
            <v>経協計</v>
          </cell>
          <cell r="AF53" t="str">
            <v>会計課調達室／サービス調達第１班</v>
          </cell>
          <cell r="AG53" t="str">
            <v>村松</v>
          </cell>
        </row>
        <row r="54">
          <cell r="A54" t="str">
            <v>法5</v>
          </cell>
          <cell r="B54">
            <v>5</v>
          </cell>
          <cell r="C54" t="str">
            <v>ﾄﾞｸﾘﾂﾎｯﾎﾟｳ</v>
          </cell>
          <cell r="D54">
            <v>5</v>
          </cell>
          <cell r="F54" t="str">
            <v>独立行政法人　北方領土問題対策協会</v>
          </cell>
          <cell r="H54" t="str">
            <v>北方四島住民招聘事業委嘱</v>
          </cell>
          <cell r="I54" t="str">
            <v>外務省大臣官房
会計課長
上月豊久
東京都千代田区
霞が関２－２－１</v>
          </cell>
          <cell r="J54" t="str">
            <v>平成17/04/14</v>
          </cell>
          <cell r="K54">
            <v>36644867</v>
          </cell>
          <cell r="L54" t="str">
            <v>　（独）北方領土問題対策協会（北対協）は、北方領土問題についての国民世論の啓発を行うこと等を目的として設置された組織である。北対協は、全国の各都道府県に設置されている「北方領土返還要求運動都道府県民会議」との組織的な連携を確保するとともに、返還要求運動に取り組む民間団体と緊密な連絡を図っている。当省から北対協に対して国民世論の啓発という側面も有している四島交流受入事業を委託することにより、長年にわたり世論啓発運動に従事し専門知識・ノウハウを有する北対協を通じて効果的な事業が実施できるのみならず、草の根レベ</v>
          </cell>
          <cell r="M54" t="str">
            <v>その他のもの</v>
          </cell>
          <cell r="N54" t="str">
            <v>ー
（随意契約によらざるを得ないもの）</v>
          </cell>
          <cell r="P54" t="str">
            <v>法×</v>
          </cell>
          <cell r="Q54" t="str">
            <v>法</v>
          </cell>
          <cell r="S54" t="str">
            <v>法1</v>
          </cell>
          <cell r="U54" t="str">
            <v>法</v>
          </cell>
          <cell r="V54" t="str">
            <v>●</v>
          </cell>
          <cell r="AA54">
            <v>1700511</v>
          </cell>
          <cell r="AB54">
            <v>1</v>
          </cell>
          <cell r="AC54" t="str">
            <v>17G223</v>
          </cell>
          <cell r="AD54" t="str">
            <v>無指定</v>
          </cell>
          <cell r="AE54" t="str">
            <v>欧ロ</v>
          </cell>
          <cell r="AF54" t="str">
            <v>会計課調達室／サービス調達第２班</v>
          </cell>
          <cell r="AG54" t="str">
            <v>高出</v>
          </cell>
        </row>
        <row r="55">
          <cell r="A55" t="str">
            <v>法6</v>
          </cell>
          <cell r="B55">
            <v>6</v>
          </cell>
          <cell r="C55" t="str">
            <v>ﾄﾞｸﾘﾂﾎｯﾎﾟｳ</v>
          </cell>
          <cell r="D55">
            <v>6</v>
          </cell>
          <cell r="F55" t="str">
            <v>独立行政法人　北方領土問題対策協会</v>
          </cell>
          <cell r="H55" t="str">
            <v>北方四島住民招聘事業委嘱</v>
          </cell>
          <cell r="I55" t="str">
            <v>外務省大臣官房
会計課長
上月豊久
東京都千代田区
霞が関２－２－１</v>
          </cell>
          <cell r="J55" t="str">
            <v>平成17/10/07</v>
          </cell>
          <cell r="K55">
            <v>37619978</v>
          </cell>
          <cell r="L55" t="str">
            <v>　（独）北方領土問題対策協会（北対協）は、北方領土問題についての国民世論の啓発を行うこと等を目的として設置された組織である。北対協は、全国の各都道府県に設置されている「北方領土返還要求運動都道府県民会議」との組織的な連携を確保するとともに、返還要求運動に取り組む民間団体と緊密な連絡を図っている。当省から北対協に対して国民世論の啓発という側面も有している四島交流受入事業を委託することにより、長年にわたり世論啓発運動に従事し専門知識・ノウハウを有する北対協を通じて効果的な事業が実施できるのみならず、草の根レベルでの北方領土返還運動に従事する都道府県民会議を介する形で更に幅広い国民各層を対象とした啓発を行うことが可能となる。したがって、本事業については、当該団体と協力して実施することが政策上不可欠（会計法第29条の３第4項）</v>
          </cell>
          <cell r="M55" t="str">
            <v>その他のもの</v>
          </cell>
          <cell r="N55" t="str">
            <v>ー
（随意契約によらざるを得ないもの）</v>
          </cell>
          <cell r="P55" t="str">
            <v>法×</v>
          </cell>
          <cell r="Q55" t="str">
            <v>法</v>
          </cell>
          <cell r="S55" t="str">
            <v>法1</v>
          </cell>
          <cell r="U55" t="str">
            <v>法</v>
          </cell>
          <cell r="V55" t="str">
            <v>●</v>
          </cell>
          <cell r="AA55">
            <v>1701165</v>
          </cell>
          <cell r="AB55">
            <v>1</v>
          </cell>
          <cell r="AC55" t="str">
            <v>17G762</v>
          </cell>
          <cell r="AD55" t="str">
            <v>無指定</v>
          </cell>
          <cell r="AE55" t="str">
            <v>欧ロ</v>
          </cell>
          <cell r="AF55" t="str">
            <v>会計課調達室／サービス調達第２班</v>
          </cell>
          <cell r="AG55" t="str">
            <v>荒井</v>
          </cell>
        </row>
        <row r="56">
          <cell r="A56" t="str">
            <v>法7</v>
          </cell>
          <cell r="B56">
            <v>7</v>
          </cell>
          <cell r="C56" t="str">
            <v>ｴﾇﾃｨｰﾃｨｰﾋｶﾞｼﾆﾎﾝ</v>
          </cell>
          <cell r="D56">
            <v>7</v>
          </cell>
          <cell r="F56" t="str">
            <v>（株）ＮＴＴ東日本－東京中央</v>
          </cell>
          <cell r="H56" t="str">
            <v>緊急事態用幹部ＦＡＸ機の保守契約</v>
          </cell>
          <cell r="I56" t="str">
            <v>外務省大臣官房
会計課長
上月豊久
東京都千代田区
霞が関２－２－１</v>
          </cell>
          <cell r="J56" t="str">
            <v>平成17/07/01</v>
          </cell>
          <cell r="K56">
            <v>2459358</v>
          </cell>
          <cell r="L56" t="str">
            <v xml:space="preserve">ＮＴＴ東日本は、幹部自宅所在地域の電話回線工事を担当するＮＴＴの系列会社であり、他者との競争がない（会計法第２９条の３第４項）。
</v>
          </cell>
          <cell r="M56" t="str">
            <v>その他のもの</v>
          </cell>
          <cell r="N56" t="str">
            <v>ー
（随意契約によらざるを得ないもの）</v>
          </cell>
          <cell r="P56" t="str">
            <v>法×</v>
          </cell>
          <cell r="Q56" t="str">
            <v>法</v>
          </cell>
          <cell r="S56" t="str">
            <v>法1</v>
          </cell>
          <cell r="U56" t="str">
            <v>法</v>
          </cell>
          <cell r="V56" t="str">
            <v>●</v>
          </cell>
          <cell r="AA56">
            <v>1701075</v>
          </cell>
          <cell r="AB56">
            <v>1</v>
          </cell>
          <cell r="AD56" t="str">
            <v>無指定</v>
          </cell>
          <cell r="AE56" t="str">
            <v>会</v>
          </cell>
          <cell r="AF56" t="str">
            <v>会計課調達室／物品調達班</v>
          </cell>
          <cell r="AG56" t="str">
            <v>仲野</v>
          </cell>
        </row>
        <row r="57">
          <cell r="A57" t="str">
            <v>法8</v>
          </cell>
          <cell r="B57">
            <v>8</v>
          </cell>
          <cell r="C57" t="str">
            <v>ﾅﾘﾀｸｳｺｳ</v>
          </cell>
          <cell r="D57">
            <v>8</v>
          </cell>
          <cell r="F57" t="str">
            <v>成田国際空港株式会社</v>
          </cell>
          <cell r="H57" t="str">
            <v>成田国際空港第１ＰＴＢ内貴賓室賃貸借契約</v>
          </cell>
          <cell r="I57" t="str">
            <v>外務省大臣官房
会計課長
上月豊久
東京都千代田区
霞が関２－２－１</v>
          </cell>
          <cell r="J57" t="str">
            <v>平成17/04/01</v>
          </cell>
          <cell r="K57">
            <v>15894840</v>
          </cell>
          <cell r="L57" t="str">
            <v>契約可能な相手が成田空港株式会社以外になく、他に競争を許さない（会計法第２９条の３第４項）。</v>
          </cell>
          <cell r="M57" t="str">
            <v>その他のもの</v>
          </cell>
          <cell r="N57" t="str">
            <v>ー
（随意契約によらざるを得ないもの）</v>
          </cell>
          <cell r="P57" t="str">
            <v>法×</v>
          </cell>
          <cell r="Q57" t="str">
            <v>法</v>
          </cell>
          <cell r="S57" t="str">
            <v>法1</v>
          </cell>
          <cell r="U57" t="str">
            <v>法</v>
          </cell>
          <cell r="V57" t="str">
            <v>●</v>
          </cell>
          <cell r="AA57">
            <v>1700076</v>
          </cell>
          <cell r="AB57">
            <v>1</v>
          </cell>
          <cell r="AC57" t="str">
            <v>17Q121</v>
          </cell>
          <cell r="AD57" t="str">
            <v>無指定</v>
          </cell>
          <cell r="AE57" t="str">
            <v>総</v>
          </cell>
          <cell r="AF57" t="str">
            <v>会計課調達室／サービス調達第１班</v>
          </cell>
          <cell r="AG57" t="str">
            <v>竹澤</v>
          </cell>
          <cell r="AI57" t="str">
            <v>場所が限定される賃貸借その他業務</v>
          </cell>
          <cell r="AJ57" t="str">
            <v>ロ</v>
          </cell>
        </row>
        <row r="58">
          <cell r="A58" t="str">
            <v>法9</v>
          </cell>
          <cell r="B58">
            <v>9</v>
          </cell>
          <cell r="C58" t="str">
            <v>ﾅﾘﾀｸｳｺｳ</v>
          </cell>
          <cell r="D58">
            <v>9</v>
          </cell>
          <cell r="F58" t="str">
            <v>成田国際空港株式会社</v>
          </cell>
          <cell r="H58" t="str">
            <v>成田国際空港第２ＰＴＢ内貴賓室賃貸借契約</v>
          </cell>
          <cell r="I58" t="str">
            <v>外務省大臣官房
会計課長
上月豊久
東京都千代田区
霞が関２－２－１</v>
          </cell>
          <cell r="J58" t="str">
            <v>平成17/04/01</v>
          </cell>
          <cell r="K58">
            <v>22783140</v>
          </cell>
          <cell r="L58" t="str">
            <v>契約可能な相手が成田空港株式会社以外になく、他に競争を許さない（会計法第２９条の３第４項）。</v>
          </cell>
          <cell r="M58" t="str">
            <v>その他のもの</v>
          </cell>
          <cell r="N58" t="str">
            <v>ー
（随意契約によらざるを得ないもの）</v>
          </cell>
          <cell r="P58" t="str">
            <v>法×</v>
          </cell>
          <cell r="Q58" t="str">
            <v>法</v>
          </cell>
          <cell r="S58" t="str">
            <v>法1</v>
          </cell>
          <cell r="U58" t="str">
            <v>法</v>
          </cell>
          <cell r="V58" t="str">
            <v>●</v>
          </cell>
          <cell r="AA58">
            <v>1700079</v>
          </cell>
          <cell r="AB58">
            <v>1</v>
          </cell>
          <cell r="AC58" t="str">
            <v>17Q221</v>
          </cell>
          <cell r="AD58" t="str">
            <v>無指定</v>
          </cell>
          <cell r="AE58" t="str">
            <v>総</v>
          </cell>
          <cell r="AF58" t="str">
            <v>会計課調達室／サービス調達第１班</v>
          </cell>
          <cell r="AG58" t="str">
            <v>竹澤</v>
          </cell>
          <cell r="AI58" t="str">
            <v>場所が限定される賃貸借その他業務</v>
          </cell>
          <cell r="AJ58" t="str">
            <v>ロ</v>
          </cell>
        </row>
        <row r="59">
          <cell r="A59" t="str">
            <v>法10</v>
          </cell>
          <cell r="B59">
            <v>10</v>
          </cell>
          <cell r="C59" t="str">
            <v>ﾅﾘﾀｸｳｺｳ</v>
          </cell>
          <cell r="D59">
            <v>10</v>
          </cell>
          <cell r="F59" t="str">
            <v>成田国際空港株式会社</v>
          </cell>
          <cell r="H59" t="str">
            <v>成田国際空港第２ＰＴＢ北駐車場ビル内成田分室賃貸借契約</v>
          </cell>
          <cell r="I59" t="str">
            <v>外務省大臣官房
会計課長
上月豊久
東京都千代田区
霞が関２－２－１</v>
          </cell>
          <cell r="J59" t="str">
            <v>平成17/04/01</v>
          </cell>
          <cell r="K59">
            <v>15200148</v>
          </cell>
          <cell r="L59" t="str">
            <v>契約可能な相手が成田空港株式会社以外になく、他に競争を許さない（会計法第２９条の３第４項）。</v>
          </cell>
          <cell r="M59" t="str">
            <v>その他のもの</v>
          </cell>
          <cell r="N59" t="str">
            <v>ー
（随意契約によらざるを得ないもの）</v>
          </cell>
          <cell r="P59" t="str">
            <v>法×</v>
          </cell>
          <cell r="Q59" t="str">
            <v>法</v>
          </cell>
          <cell r="S59" t="str">
            <v>法1</v>
          </cell>
          <cell r="U59" t="str">
            <v>法</v>
          </cell>
          <cell r="V59" t="str">
            <v>●</v>
          </cell>
          <cell r="AA59">
            <v>1700081</v>
          </cell>
          <cell r="AB59">
            <v>1</v>
          </cell>
          <cell r="AC59" t="str">
            <v>17Q167</v>
          </cell>
          <cell r="AD59" t="str">
            <v>無指定</v>
          </cell>
          <cell r="AE59" t="str">
            <v>総</v>
          </cell>
          <cell r="AF59" t="str">
            <v>会計課調達室／サービス調達第１班</v>
          </cell>
          <cell r="AG59" t="str">
            <v>竹澤</v>
          </cell>
        </row>
        <row r="60">
          <cell r="A60" t="str">
            <v>法11</v>
          </cell>
          <cell r="B60">
            <v>11</v>
          </cell>
          <cell r="C60" t="str">
            <v>ﾅﾘﾀｸｳｺｳ</v>
          </cell>
          <cell r="D60">
            <v>11</v>
          </cell>
          <cell r="F60" t="str">
            <v>成田国際空港株式会社</v>
          </cell>
          <cell r="H60" t="str">
            <v>成田分室等のフライト情報提供に係わるビデオ表示器使用契約</v>
          </cell>
          <cell r="I60" t="str">
            <v>外務省大臣官房
会計課長
上月豊久
東京都千代田区
霞が関２－２－１</v>
          </cell>
          <cell r="J60" t="str">
            <v>平成17/04/01</v>
          </cell>
          <cell r="K60">
            <v>2759400</v>
          </cell>
          <cell r="L60" t="str">
            <v>契約可能な相手が成田空港株式会社以外になく、他に競争を許さない（会計法第２９条の３第４項）。</v>
          </cell>
          <cell r="M60" t="str">
            <v>その他のもの</v>
          </cell>
          <cell r="N60" t="str">
            <v>ー
（随意契約によらざるを得ないもの）</v>
          </cell>
          <cell r="P60" t="str">
            <v>法×</v>
          </cell>
          <cell r="Q60" t="str">
            <v>法</v>
          </cell>
          <cell r="S60" t="str">
            <v>法1</v>
          </cell>
          <cell r="U60" t="str">
            <v>法</v>
          </cell>
          <cell r="V60" t="str">
            <v>●</v>
          </cell>
          <cell r="AA60">
            <v>1700083</v>
          </cell>
          <cell r="AB60">
            <v>1</v>
          </cell>
          <cell r="AC60" t="str">
            <v>17Q170</v>
          </cell>
          <cell r="AD60" t="str">
            <v>無指定</v>
          </cell>
          <cell r="AE60" t="str">
            <v>総</v>
          </cell>
          <cell r="AF60" t="str">
            <v>会計課調達室／サービス調達第１班</v>
          </cell>
          <cell r="AG60" t="str">
            <v>竹澤</v>
          </cell>
          <cell r="AI60" t="str">
            <v>場所が限定される賃貸借その他業務</v>
          </cell>
          <cell r="AJ60" t="str">
            <v>ロ</v>
          </cell>
        </row>
        <row r="61">
          <cell r="A61" t="str">
            <v>法12</v>
          </cell>
          <cell r="B61">
            <v>12</v>
          </cell>
          <cell r="C61" t="str">
            <v>ﾅﾘﾀｸｳｺｳ</v>
          </cell>
          <cell r="D61">
            <v>12</v>
          </cell>
          <cell r="F61" t="str">
            <v>成田国際空港株式会社</v>
          </cell>
          <cell r="H61" t="str">
            <v>成田国際空港第１・第２ＰＴＢ特別待合室の時間制借り上げ</v>
          </cell>
          <cell r="I61" t="str">
            <v>外務省大臣官房
会計課長
上月豊久
東京都千代田区
霞が関２－２－１</v>
          </cell>
          <cell r="J61" t="str">
            <v>平成17/04/01</v>
          </cell>
          <cell r="K61">
            <v>2940000</v>
          </cell>
          <cell r="L61" t="str">
            <v>契約可能な相手が成田空港株式会社以外になく、他に競争を許さない（会計法第２９条の３第４項）。</v>
          </cell>
          <cell r="M61" t="str">
            <v>その他のもの</v>
          </cell>
          <cell r="N61" t="str">
            <v>ー
（随意契約によらざるを得ないもの）</v>
          </cell>
          <cell r="P61" t="str">
            <v>法×</v>
          </cell>
          <cell r="Q61" t="str">
            <v>法</v>
          </cell>
          <cell r="S61" t="str">
            <v>法1</v>
          </cell>
          <cell r="U61" t="str">
            <v>法</v>
          </cell>
          <cell r="V61" t="str">
            <v>●</v>
          </cell>
          <cell r="AA61">
            <v>1700094</v>
          </cell>
          <cell r="AB61">
            <v>1</v>
          </cell>
          <cell r="AC61" t="str">
            <v>17Q118</v>
          </cell>
          <cell r="AD61" t="str">
            <v>無指定</v>
          </cell>
          <cell r="AE61" t="str">
            <v>総</v>
          </cell>
          <cell r="AF61" t="str">
            <v>会計課調達室／サービス調達第１班</v>
          </cell>
          <cell r="AG61" t="str">
            <v>竹澤</v>
          </cell>
        </row>
        <row r="62">
          <cell r="A62" t="str">
            <v>法13</v>
          </cell>
          <cell r="B62">
            <v>13</v>
          </cell>
          <cell r="C62" t="str">
            <v>ﾆﾎﾝﾎｳｿｳ</v>
          </cell>
          <cell r="D62">
            <v>13</v>
          </cell>
          <cell r="F62" t="str">
            <v>日本放送協会</v>
          </cell>
          <cell r="H62" t="str">
            <v>ＮＨＫテレビ受信料</v>
          </cell>
          <cell r="I62" t="str">
            <v>外務省大臣官房
会計課長
上月豊久
東京都千代田区
霞が関２－２－１</v>
          </cell>
          <cell r="J62" t="str">
            <v>平成17/04/01</v>
          </cell>
          <cell r="K62">
            <v>8575170</v>
          </cell>
          <cell r="L62" t="str">
            <v>放送受信に当たり他に競争を許さない（会計法第２９条の３第４項）。</v>
          </cell>
          <cell r="M62" t="str">
            <v>その他のもの</v>
          </cell>
          <cell r="N62" t="str">
            <v>ー
（随意契約によらざるを得ないもの）</v>
          </cell>
          <cell r="P62" t="str">
            <v>法×</v>
          </cell>
          <cell r="Q62" t="str">
            <v>法</v>
          </cell>
          <cell r="S62" t="str">
            <v>法1</v>
          </cell>
          <cell r="U62" t="str">
            <v>法</v>
          </cell>
          <cell r="V62" t="str">
            <v>●</v>
          </cell>
          <cell r="AA62">
            <v>1700044</v>
          </cell>
          <cell r="AB62">
            <v>1</v>
          </cell>
          <cell r="AC62" t="str">
            <v>17Q267</v>
          </cell>
          <cell r="AD62" t="str">
            <v>無指定</v>
          </cell>
          <cell r="AE62" t="str">
            <v>会</v>
          </cell>
          <cell r="AF62" t="str">
            <v>会計課調達室／物品調達班</v>
          </cell>
          <cell r="AG62" t="str">
            <v>知念</v>
          </cell>
          <cell r="AI62" t="str">
            <v>行政目的を達成するために不可欠な情報の提供</v>
          </cell>
          <cell r="AJ62" t="str">
            <v>ニ（ヘ）</v>
          </cell>
        </row>
        <row r="63">
          <cell r="A63" t="str">
            <v>法14</v>
          </cell>
          <cell r="B63">
            <v>14</v>
          </cell>
          <cell r="C63" t="str">
            <v>ｻﾞｲｱｼﾞｱﾌｸｼ</v>
          </cell>
          <cell r="D63">
            <v>14</v>
          </cell>
          <cell r="F63" t="str">
            <v>財団法人　アジア福祉教育財団</v>
          </cell>
          <cell r="H63" t="str">
            <v>インドシナ難民等救援業務委託費</v>
          </cell>
          <cell r="I63" t="str">
            <v>外務省大臣官房
会計課長
上月豊久
東京都千代田区
霞が関２－２－１</v>
          </cell>
          <cell r="J63" t="str">
            <v>平成17/04/01</v>
          </cell>
          <cell r="K63">
            <v>637138000</v>
          </cell>
          <cell r="L63" t="str">
            <v>本件事業は、閣議了解されている我が国の難民受入・定住支援対策に基づき、右閣議了解で設置された難民対策連絡調整会議を通じた政府決定として、本件財団に委託しているものである。また、右調整会議の決定により、平成１８年度から不動産の取得を伴う新規事業が開始されたばかりであり、我が国が国際協力の一環として公平かつ一貫した難民認定申請者の保護・支援を行うためにも、他に選択肢がない（会計法第２９条の３第４項）。</v>
          </cell>
          <cell r="M63" t="str">
            <v>見直しの余地があるもの</v>
          </cell>
          <cell r="N63" t="str">
            <v>一般競争入札等に移行するための準備に時間を要するもの（２３年度以降において公募実施）</v>
          </cell>
          <cell r="P63" t="str">
            <v>所管法×</v>
          </cell>
          <cell r="Q63" t="str">
            <v>法</v>
          </cell>
          <cell r="S63" t="str">
            <v>法21②</v>
          </cell>
          <cell r="T63" t="str">
            <v>法21②</v>
          </cell>
          <cell r="U63" t="str">
            <v>法</v>
          </cell>
          <cell r="Z63" t="str">
            <v>②</v>
          </cell>
          <cell r="AI63" t="str">
            <v>　同委託業務は、難民認定申請者の保護、難民認定者定住支援等、高度な専門性、知見等を要する業務であることから、今後、平成23年度からの公募方式への移行に向け、単年度の公募方式に移行した場合のサービスの低下の回避、委託すべき業務内容の精査等を行っているところである。</v>
          </cell>
          <cell r="AJ63" t="str">
            <v>平成23年度</v>
          </cell>
        </row>
        <row r="64">
          <cell r="A64" t="str">
            <v>法15</v>
          </cell>
          <cell r="B64">
            <v>15</v>
          </cell>
          <cell r="C64" t="str">
            <v>ｻﾞｲﾆﾎﾝｺｸｻｲｺｳﾘｭｳ</v>
          </cell>
          <cell r="D64">
            <v>15</v>
          </cell>
          <cell r="F64" t="str">
            <v>財団法人　　
日本国際交流センター</v>
          </cell>
          <cell r="H64" t="str">
            <v>人間の安全保障基金の評価制度の整備（保健・HIV/エイズ案件）（企画招請）</v>
          </cell>
          <cell r="I64" t="str">
            <v>外務省大臣官房
会計課長
上月豊久
東京都千代田区
霞が関２－２－１</v>
          </cell>
          <cell r="J64" t="str">
            <v>平成18/02/14</v>
          </cell>
          <cell r="K64">
            <v>3981724</v>
          </cell>
          <cell r="L64"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64" t="str">
            <v>見直しの余地があるもの</v>
          </cell>
          <cell r="N64" t="str">
            <v>一般競争入札等に移行したもの（企画招請実施）</v>
          </cell>
          <cell r="P64" t="str">
            <v>所管法○</v>
          </cell>
          <cell r="Q64" t="str">
            <v>法</v>
          </cell>
          <cell r="R64" t="str">
            <v>○</v>
          </cell>
          <cell r="S64" t="str">
            <v>法18②</v>
          </cell>
          <cell r="T64" t="str">
            <v>法18②</v>
          </cell>
          <cell r="U64" t="str">
            <v>法</v>
          </cell>
          <cell r="W64" t="str">
            <v>②</v>
          </cell>
          <cell r="AA64">
            <v>1701561</v>
          </cell>
          <cell r="AB64">
            <v>1</v>
          </cell>
          <cell r="AC64" t="str">
            <v>17G898</v>
          </cell>
          <cell r="AD64" t="str">
            <v>無指定</v>
          </cell>
          <cell r="AE64" t="str">
            <v>国政</v>
          </cell>
          <cell r="AF64" t="str">
            <v>会計課調達室／サービス調達第１班</v>
          </cell>
          <cell r="AG64" t="str">
            <v>村松</v>
          </cell>
        </row>
        <row r="65">
          <cell r="A65" t="str">
            <v>法16</v>
          </cell>
          <cell r="B65">
            <v>16</v>
          </cell>
          <cell r="C65" t="str">
            <v>ｻﾞｲﾆﾎﾝｺｸｻｲｺｳﾘｭｳ</v>
          </cell>
          <cell r="D65">
            <v>16</v>
          </cell>
          <cell r="F65" t="str">
            <v>財団法人
日本国際交流センター</v>
          </cell>
          <cell r="H65" t="str">
            <v>日豪若手政治家交流計画招聘</v>
          </cell>
          <cell r="I65" t="str">
            <v>外務省大臣官房
会計課長
上月豊久
東京都千代田区
霞が関２－２－１</v>
          </cell>
          <cell r="J65" t="str">
            <v>平成18/02/18</v>
          </cell>
          <cell r="K65">
            <v>7837972</v>
          </cell>
          <cell r="L65" t="str">
            <v>本件プログラムの立ち上げに当たっては計画段階より同センターが日本側当事者の一員として主体的に個別招聘計画を行うなど、事業の実施に深く関わっている。また、豪州側の実施主体である豪州政治交流委員会とも緊密な協力関係を維持しており、本件業務の委託先として最適である（会計法第２９条の３第４項）。</v>
          </cell>
          <cell r="M65" t="str">
            <v>見直しの余地があるもの</v>
          </cell>
          <cell r="N65" t="str">
            <v>一般競争入札等に移行するための準備に時間を要するもの（１９年度以降において公募実施）</v>
          </cell>
          <cell r="P65" t="str">
            <v>所管法×</v>
          </cell>
          <cell r="Q65" t="str">
            <v>法</v>
          </cell>
          <cell r="S65" t="str">
            <v>法19②</v>
          </cell>
          <cell r="T65" t="str">
            <v>法19②</v>
          </cell>
          <cell r="U65" t="str">
            <v>法</v>
          </cell>
          <cell r="X65" t="str">
            <v>②</v>
          </cell>
          <cell r="AA65">
            <v>1701723</v>
          </cell>
          <cell r="AB65">
            <v>1</v>
          </cell>
          <cell r="AC65" t="str">
            <v>17F302</v>
          </cell>
          <cell r="AD65" t="str">
            <v>無指定</v>
          </cell>
          <cell r="AE65" t="str">
            <v>亜洋</v>
          </cell>
          <cell r="AF65" t="str">
            <v>会計課調達室／サービス調達第２班</v>
          </cell>
          <cell r="AG65" t="str">
            <v>田中</v>
          </cell>
        </row>
        <row r="66">
          <cell r="A66" t="str">
            <v>法17</v>
          </cell>
          <cell r="B66">
            <v>17</v>
          </cell>
          <cell r="C66" t="str">
            <v>ｻﾞｲﾆﾎﾝｺｸｻｲﾓﾝﾀﾞｲ</v>
          </cell>
          <cell r="D66">
            <v>17</v>
          </cell>
          <cell r="F66" t="str">
            <v>財団法人     日本国際問題研究所</v>
          </cell>
          <cell r="H66" t="str">
            <v>中国軍事情勢に関する最近１０年間のトレンド分析（企画招請）</v>
          </cell>
          <cell r="I66" t="str">
            <v>外務省大臣官房
会計課長
上月豊久
東京都千代田区
霞が関２－２－１</v>
          </cell>
          <cell r="J66" t="str">
            <v>平成17/09/15</v>
          </cell>
          <cell r="K66">
            <v>2517091</v>
          </cell>
          <cell r="L66"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66" t="str">
            <v>見直しの余地があるもの</v>
          </cell>
          <cell r="N66" t="str">
            <v>１８年度において当該事務・事業の委託等を行う予定なし</v>
          </cell>
          <cell r="P66" t="str">
            <v>所管法○</v>
          </cell>
          <cell r="Q66" t="str">
            <v>法</v>
          </cell>
          <cell r="R66" t="str">
            <v>○</v>
          </cell>
          <cell r="S66" t="str">
            <v>法18×</v>
          </cell>
          <cell r="T66" t="str">
            <v>法18×</v>
          </cell>
          <cell r="U66" t="str">
            <v>法</v>
          </cell>
          <cell r="W66" t="str">
            <v>×</v>
          </cell>
          <cell r="AA66">
            <v>1701089</v>
          </cell>
          <cell r="AB66">
            <v>1</v>
          </cell>
          <cell r="AC66" t="str">
            <v>17G669</v>
          </cell>
          <cell r="AD66" t="str">
            <v xml:space="preserve"> </v>
          </cell>
          <cell r="AE66" t="str">
            <v>情報１</v>
          </cell>
          <cell r="AF66" t="str">
            <v>会計課調達室／サービス調達第１班</v>
          </cell>
          <cell r="AG66" t="str">
            <v>村松</v>
          </cell>
        </row>
        <row r="67">
          <cell r="A67" t="str">
            <v>法18</v>
          </cell>
          <cell r="B67">
            <v>18</v>
          </cell>
          <cell r="C67" t="str">
            <v>ｻﾞｲﾆﾎﾝｺｸｻｲﾓﾝﾀﾞｲ</v>
          </cell>
          <cell r="D67">
            <v>18</v>
          </cell>
          <cell r="F67" t="str">
            <v>財団法人　
日本国際問題研究所</v>
          </cell>
          <cell r="H67" t="str">
            <v>包括的核実験禁止条約国内運用体制整備事業等委託費</v>
          </cell>
          <cell r="I67" t="str">
            <v>外務省大臣官房
会計課長
上月豊久
東京都千代田区
霞が関２－２－１</v>
          </cell>
          <cell r="J67" t="str">
            <v>平成17/04/01</v>
          </cell>
          <cell r="K67">
            <v>279466000</v>
          </cell>
          <cell r="L67" t="str">
            <v>本件事業は他国における核実験の有無の検証であり、右検証結果は核実験という国際政治・安全保障上の極めて機微な情報であることから、取り扱いには厳重な保秘が求められる。従って、我が国において軍備管理・軍縮不拡散分野の総合的な知見を政策的に集約・蓄積している同センターに、我が国の条約上の責任である、国内運用体制の事務局機能を委託するものであり、他に選択肢がない（会計法第２９条の３第３項）。</v>
          </cell>
          <cell r="M67" t="str">
            <v>見直しの余地があるもの</v>
          </cell>
          <cell r="N67" t="str">
            <v>一般競争入札等に移行するための準備に時間を要するもの（２１年度以降において公募実施）</v>
          </cell>
          <cell r="P67" t="str">
            <v>所管法×</v>
          </cell>
          <cell r="Q67" t="str">
            <v>法</v>
          </cell>
          <cell r="S67" t="str">
            <v>法21②</v>
          </cell>
          <cell r="T67" t="str">
            <v>法21②</v>
          </cell>
          <cell r="U67" t="str">
            <v>法</v>
          </cell>
          <cell r="Z67" t="str">
            <v>②</v>
          </cell>
          <cell r="AI67" t="str">
            <v>現在の事業が平成16年度から5ヵ年計画（H16～H20）で実施されており、事業の継続性の観点から同一の者により施行されることが必要不可欠であるため。</v>
          </cell>
          <cell r="AJ67" t="str">
            <v>平成21年度</v>
          </cell>
        </row>
        <row r="68">
          <cell r="A68" t="str">
            <v>法19</v>
          </cell>
          <cell r="B68">
            <v>19</v>
          </cell>
          <cell r="C68" t="str">
            <v>ｻﾞｲﾆﾎﾝｺｸｻｲﾓﾝﾀﾞｲ</v>
          </cell>
          <cell r="D68">
            <v>19</v>
          </cell>
          <cell r="F68" t="str">
            <v>財団法人
日本国際問題研究所</v>
          </cell>
          <cell r="H68" t="str">
            <v>人間の安全保障基金の評価制度の整備（紛争後地域の復興支援案件）（企画招請）</v>
          </cell>
          <cell r="I68" t="str">
            <v>外務省大臣官房
会計課長
上月豊久
東京都千代田区
霞が関２－２－１</v>
          </cell>
          <cell r="J68" t="str">
            <v>平成18/02/14</v>
          </cell>
          <cell r="K68">
            <v>3999430</v>
          </cell>
          <cell r="L68"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68" t="str">
            <v>見直しの余地があるもの</v>
          </cell>
          <cell r="N68" t="str">
            <v>一般競争入札等に移行したもの（企画招請実施）</v>
          </cell>
          <cell r="P68" t="str">
            <v>所管法○</v>
          </cell>
          <cell r="Q68" t="str">
            <v>法</v>
          </cell>
          <cell r="R68" t="str">
            <v>○</v>
          </cell>
          <cell r="S68" t="str">
            <v>法18②</v>
          </cell>
          <cell r="T68" t="str">
            <v>法18②</v>
          </cell>
          <cell r="U68" t="str">
            <v>法</v>
          </cell>
          <cell r="W68" t="str">
            <v>②</v>
          </cell>
          <cell r="AA68">
            <v>1701532</v>
          </cell>
          <cell r="AB68">
            <v>1</v>
          </cell>
          <cell r="AC68" t="str">
            <v>17H106</v>
          </cell>
          <cell r="AD68" t="str">
            <v>無指定</v>
          </cell>
          <cell r="AE68" t="str">
            <v>国政</v>
          </cell>
          <cell r="AF68" t="str">
            <v>会計課調達室／サービス調達第１班</v>
          </cell>
          <cell r="AG68" t="str">
            <v>村松</v>
          </cell>
        </row>
        <row r="69">
          <cell r="A69" t="str">
            <v>法20</v>
          </cell>
          <cell r="B69">
            <v>20</v>
          </cell>
          <cell r="C69" t="str">
            <v>ｼｬﾀﾞﾝｶｲｶﾞｲｺｳﾎｳ</v>
          </cell>
          <cell r="D69">
            <v>20</v>
          </cell>
          <cell r="F69" t="str">
            <v>社団法人　
海外広報協会</v>
          </cell>
          <cell r="H69" t="str">
            <v>Ｗｅｂ　Ｊａｐａｎホームページの維持管理等業務、プロモーション業務企画</v>
          </cell>
          <cell r="I69" t="str">
            <v>外務省大臣官房
会計課長
上月豊久
東京都千代田区
霞が関２－２－１</v>
          </cell>
          <cell r="J69" t="str">
            <v>平成17/04/01</v>
          </cell>
          <cell r="K69">
            <v>19453434</v>
          </cell>
          <cell r="L69" t="str">
            <v>本ホームページの維持管理業務は、平成１６年度における企画招請により、（社）海外広報協会と随意契約を締結したが、平成１７年度において再度右システムを再構築するのは、費用対効果及び効率性の観点から合理的ではない。また、平成１７年度の本件業務を行うにあたり、プロモーション業務企画・実施能力、サーバーシステムの構築・業務体制、第三者からの様々な照会事項への対応体制が大幅に変更されることは国民の利便性の観点から好ましくない（会計法第２９条の３第４項）。</v>
          </cell>
          <cell r="M69" t="str">
            <v>見直しの余地があるもの</v>
          </cell>
          <cell r="N69" t="str">
            <v>一般競争入札等に移行するための準備に時間を要するもの（２０年度以降において一般競争入札実施）</v>
          </cell>
          <cell r="O69" t="str">
            <v>単価契約分19,509,971</v>
          </cell>
          <cell r="P69" t="str">
            <v>所管法×</v>
          </cell>
          <cell r="Q69" t="str">
            <v>法</v>
          </cell>
          <cell r="S69" t="str">
            <v>法20①</v>
          </cell>
          <cell r="T69" t="str">
            <v>法20①</v>
          </cell>
          <cell r="U69" t="str">
            <v>法</v>
          </cell>
          <cell r="Y69" t="str">
            <v>①</v>
          </cell>
          <cell r="AA69">
            <v>1700410</v>
          </cell>
          <cell r="AB69">
            <v>1</v>
          </cell>
          <cell r="AD69" t="str">
            <v>無指定</v>
          </cell>
          <cell r="AE69" t="str">
            <v>広文総</v>
          </cell>
          <cell r="AF69" t="str">
            <v>会計課調達室／サービス調達第１班</v>
          </cell>
          <cell r="AG69" t="str">
            <v>村松</v>
          </cell>
        </row>
        <row r="70">
          <cell r="A70" t="str">
            <v>法21</v>
          </cell>
          <cell r="B70">
            <v>21</v>
          </cell>
          <cell r="C70" t="str">
            <v>ﾜｲｴﾌﾕｰ</v>
          </cell>
          <cell r="D70">
            <v>21</v>
          </cell>
          <cell r="F70" t="str">
            <v>ワイ・エフ・ユー日本国際交流財団</v>
          </cell>
          <cell r="H70" t="str">
            <v>平成１７年度日米若人交流計画にかかる業務委嘱</v>
          </cell>
          <cell r="I70" t="str">
            <v>外務省大臣官房
会計課長
上月豊久
東京都千代田区
霞が関２－２－１</v>
          </cell>
          <cell r="J70" t="str">
            <v>平成17/04/01</v>
          </cell>
          <cell r="K70">
            <v>16825000</v>
          </cell>
          <cell r="L70" t="str">
            <v>本件事業の委託先は、米国において選考業務から送り出しまでを請け負い、さらに、本邦においては、高校生のホームステイ先や受入れ高校を特定する受入業務から帰国までを行うことが必須条件として求められる。右に必要な全米各地の教育ネットワークを有し、二国間にまたがる事業を執り行う業者は他にないことから、当該財団との契約が不可欠（会計法第２９条の３第４項）。</v>
          </cell>
          <cell r="M70" t="str">
            <v>見直しの余地があるもの</v>
          </cell>
          <cell r="N70" t="str">
            <v>一般競争入札等に移行するための準備に時間を要するもの（１９年度以降において企画招請実施）</v>
          </cell>
          <cell r="P70" t="str">
            <v>所管法×</v>
          </cell>
          <cell r="Q70" t="str">
            <v>法</v>
          </cell>
          <cell r="S70" t="str">
            <v>法19②</v>
          </cell>
          <cell r="T70" t="str">
            <v>法19②</v>
          </cell>
          <cell r="U70" t="str">
            <v>法</v>
          </cell>
          <cell r="X70" t="str">
            <v>②</v>
          </cell>
          <cell r="AA70">
            <v>1700612</v>
          </cell>
          <cell r="AB70">
            <v>1</v>
          </cell>
          <cell r="AC70" t="str">
            <v>17G186</v>
          </cell>
          <cell r="AD70" t="str">
            <v>無指定</v>
          </cell>
          <cell r="AE70" t="str">
            <v>北米１</v>
          </cell>
          <cell r="AF70" t="str">
            <v>会計課調達室／サービス調達第２班</v>
          </cell>
          <cell r="AG70" t="str">
            <v>光山</v>
          </cell>
        </row>
        <row r="71">
          <cell r="A71" t="str">
            <v>法22</v>
          </cell>
          <cell r="B71">
            <v>22</v>
          </cell>
          <cell r="C71" t="str">
            <v>ﾜｲｴﾌﾕｰ</v>
          </cell>
          <cell r="D71">
            <v>22</v>
          </cell>
          <cell r="F71" t="str">
            <v>ワイ・エフ・ユー日本国際交流財団</v>
          </cell>
          <cell r="H71" t="str">
            <v>平成１７年度日米若人交流計画（短期）に係る業務委嘱の契約</v>
          </cell>
          <cell r="I71" t="str">
            <v>外務省大臣官房
会計課長
上月豊久
東京都千代田区
霞が関２－２－１</v>
          </cell>
          <cell r="J71" t="str">
            <v>平成17/05/13</v>
          </cell>
          <cell r="K71">
            <v>12200000</v>
          </cell>
          <cell r="L71" t="str">
            <v>本件事業の委託先は、米国において選考業務から送り出しまでを請け負い、さらに、本邦においては、高校生のホームステイ先や受入れ高校を特定する受入業務から帰国までを行うことが必須条件として求められる。右に必要な全米各地の教育ネットワークを有し、二国間にまたがる事業を執り行う業者は他にないことから、当該財団との契約が不可欠（会計法第２９条の３第５項）。</v>
          </cell>
          <cell r="M71" t="str">
            <v>見直しの余地があるもの</v>
          </cell>
          <cell r="N71" t="str">
            <v>一般競争入札等に移行するための準備に時間を要するもの（１９年度以降において企画招請実施）</v>
          </cell>
          <cell r="P71" t="str">
            <v>所管法×</v>
          </cell>
          <cell r="Q71" t="str">
            <v>法</v>
          </cell>
          <cell r="S71" t="str">
            <v>法19②</v>
          </cell>
          <cell r="T71" t="str">
            <v>法19②</v>
          </cell>
          <cell r="U71" t="str">
            <v>法</v>
          </cell>
          <cell r="X71" t="str">
            <v>②</v>
          </cell>
          <cell r="AA71">
            <v>1700146</v>
          </cell>
          <cell r="AB71">
            <v>1</v>
          </cell>
          <cell r="AC71" t="str">
            <v>17G315</v>
          </cell>
          <cell r="AD71" t="str">
            <v>無指定</v>
          </cell>
          <cell r="AE71" t="str">
            <v>北米１</v>
          </cell>
          <cell r="AF71" t="str">
            <v>会計課調達室／サービス調達第２班</v>
          </cell>
          <cell r="AG71" t="str">
            <v>和田</v>
          </cell>
        </row>
        <row r="72">
          <cell r="A72" t="str">
            <v>法23</v>
          </cell>
          <cell r="B72">
            <v>23</v>
          </cell>
          <cell r="C72" t="str">
            <v>ﾜｲｴﾌﾕｰ</v>
          </cell>
          <cell r="D72">
            <v>23</v>
          </cell>
          <cell r="F72" t="str">
            <v>ワイ・エフ・
ユー日本国際
交流財団</v>
          </cell>
          <cell r="H72" t="str">
            <v>平成１７年度「日欧高校生交流プログラム（短期招聘グループ）」</v>
          </cell>
          <cell r="I72" t="str">
            <v>外務省大臣官房
会計課長
上月豊久
東京都千代田区
霞が関２－２－１</v>
          </cell>
          <cell r="J72" t="str">
            <v>平成17/06/21</v>
          </cell>
          <cell r="K72">
            <v>22313955</v>
          </cell>
          <cell r="L72" t="str">
            <v>学生の交流を実施している１３団体に対し、対象国、現地事務所の有無、事業の実施可能性等を調査したところ、現地事務所が最も多い団体でもあり、１７年度において本件事業が実施可能であったのは当該財団だけであったため、右と随意契約を行った（会計法第２９条の３第４項）。</v>
          </cell>
          <cell r="M72" t="str">
            <v>見直しの余地があるもの</v>
          </cell>
          <cell r="N72" t="str">
            <v>一般競争入札等に移行したもの（企画招請実施）</v>
          </cell>
          <cell r="P72" t="str">
            <v>所管法×</v>
          </cell>
          <cell r="Q72" t="str">
            <v>法</v>
          </cell>
          <cell r="S72" t="str">
            <v>法18②</v>
          </cell>
          <cell r="T72" t="str">
            <v>法18②</v>
          </cell>
          <cell r="U72" t="str">
            <v>法</v>
          </cell>
          <cell r="W72" t="str">
            <v>②</v>
          </cell>
          <cell r="AA72">
            <v>1700819</v>
          </cell>
          <cell r="AB72">
            <v>1</v>
          </cell>
          <cell r="AC72" t="str">
            <v>17G430</v>
          </cell>
          <cell r="AD72" t="str">
            <v xml:space="preserve"> </v>
          </cell>
          <cell r="AE72" t="str">
            <v>欧政策</v>
          </cell>
          <cell r="AF72" t="str">
            <v>会計課調達室／サービス調達第２班</v>
          </cell>
          <cell r="AG72" t="str">
            <v>高出</v>
          </cell>
        </row>
        <row r="73">
          <cell r="A73" t="str">
            <v>法24</v>
          </cell>
          <cell r="B73">
            <v>24</v>
          </cell>
          <cell r="C73" t="str">
            <v>ﾜｲｴﾌﾕｰ</v>
          </cell>
          <cell r="D73">
            <v>24</v>
          </cell>
          <cell r="F73" t="str">
            <v>ワイ・エフ・
ユー日本国際
交流財団</v>
          </cell>
          <cell r="H73" t="str">
            <v>平成１７年度「日欧高校生交流プログラム（長期招聘グループ）」</v>
          </cell>
          <cell r="I73" t="str">
            <v>外務省大臣官房
会計課長
上月豊久
東京都千代田区
霞が関２－２－１</v>
          </cell>
          <cell r="J73" t="str">
            <v>平成17/06/28</v>
          </cell>
          <cell r="K73">
            <v>21724000</v>
          </cell>
          <cell r="L73" t="str">
            <v>学生の交流を実施している１３団体に対し、対象国、現地事務所の有無、事業の実施可能性等を調査したところ、現地事務所が最も多い団体でもあり、１７年度において本件事業が実施可能であったのは当該財団だけであったため、右と随意契約を行った（会計法第２９条の３第５項）。</v>
          </cell>
          <cell r="M73" t="str">
            <v>見直しの余地があるもの</v>
          </cell>
          <cell r="N73" t="str">
            <v>一般競争入札等に移行したもの（企画招請実施）</v>
          </cell>
          <cell r="P73" t="str">
            <v>所管法×</v>
          </cell>
          <cell r="Q73" t="str">
            <v>法</v>
          </cell>
          <cell r="S73" t="str">
            <v>法18②</v>
          </cell>
          <cell r="T73" t="str">
            <v>法18②</v>
          </cell>
          <cell r="U73" t="str">
            <v>法</v>
          </cell>
          <cell r="W73" t="str">
            <v>②</v>
          </cell>
          <cell r="AA73">
            <v>1700827</v>
          </cell>
          <cell r="AB73">
            <v>1</v>
          </cell>
          <cell r="AC73" t="str">
            <v>17G462</v>
          </cell>
          <cell r="AD73" t="str">
            <v xml:space="preserve"> </v>
          </cell>
          <cell r="AE73" t="str">
            <v>欧政策</v>
          </cell>
          <cell r="AF73" t="str">
            <v>会計課調達室／サービス調達第２班</v>
          </cell>
          <cell r="AG73" t="str">
            <v>高出</v>
          </cell>
        </row>
        <row r="74">
          <cell r="A74" t="str">
            <v>法25</v>
          </cell>
          <cell r="B74">
            <v>25</v>
          </cell>
          <cell r="C74" t="str">
            <v>ｻﾞｲﾗﾁﾞｵ</v>
          </cell>
          <cell r="D74">
            <v>25</v>
          </cell>
          <cell r="F74" t="str">
            <v>財団法人　
ラヂオプレス</v>
          </cell>
          <cell r="H74" t="str">
            <v>北朝鮮軍事情勢に関する最近の動向分析（企画招請）</v>
          </cell>
          <cell r="I74" t="str">
            <v>外務省大臣官房
会計課長
上月豊久
東京都千代田区
霞が関２－２－１</v>
          </cell>
          <cell r="J74" t="str">
            <v>平成17/09/15</v>
          </cell>
          <cell r="K74">
            <v>2528295</v>
          </cell>
          <cell r="L74"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74" t="str">
            <v>見直しの余地があるもの</v>
          </cell>
          <cell r="N74" t="str">
            <v>１８年度において当該事務・事業の委託等を行う予定なし</v>
          </cell>
          <cell r="P74" t="str">
            <v>所管法○</v>
          </cell>
          <cell r="Q74" t="str">
            <v>法</v>
          </cell>
          <cell r="R74" t="str">
            <v>○</v>
          </cell>
          <cell r="S74" t="str">
            <v>法18×</v>
          </cell>
          <cell r="T74" t="str">
            <v>法18×</v>
          </cell>
          <cell r="U74" t="str">
            <v>法</v>
          </cell>
          <cell r="W74" t="str">
            <v>×</v>
          </cell>
          <cell r="AA74">
            <v>1701089</v>
          </cell>
          <cell r="AB74">
            <v>3</v>
          </cell>
          <cell r="AC74" t="str">
            <v>17G671</v>
          </cell>
          <cell r="AD74" t="str">
            <v xml:space="preserve"> </v>
          </cell>
          <cell r="AE74" t="str">
            <v>情報１</v>
          </cell>
          <cell r="AF74" t="str">
            <v>会計課調達室／サービス調達第１班</v>
          </cell>
          <cell r="AG74" t="str">
            <v>村松</v>
          </cell>
        </row>
        <row r="75">
          <cell r="A75" t="str">
            <v>法26</v>
          </cell>
          <cell r="B75">
            <v>26</v>
          </cell>
          <cell r="C75" t="str">
            <v>ｻﾞｲﾗﾁﾞｵ</v>
          </cell>
          <cell r="D75">
            <v>26</v>
          </cell>
          <cell r="F75" t="str">
            <v>財団法人
ラヂオプレス</v>
          </cell>
          <cell r="H75" t="str">
            <v>北朝鮮朝鮮労働党の動向に関する調査・分析（企画招請）</v>
          </cell>
          <cell r="I75" t="str">
            <v>外務省大臣官房
会計課長
上月豊久
東京都千代田区
霞が関２－２－１</v>
          </cell>
          <cell r="J75" t="str">
            <v>平成17/09/15</v>
          </cell>
          <cell r="K75">
            <v>1968120</v>
          </cell>
          <cell r="L75"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75" t="str">
            <v>見直しの余地があるもの</v>
          </cell>
          <cell r="N75" t="str">
            <v>１８年度において当該事務・事業の委託等を行う予定なし</v>
          </cell>
          <cell r="P75" t="str">
            <v>所管法○</v>
          </cell>
          <cell r="Q75" t="str">
            <v>法</v>
          </cell>
          <cell r="R75" t="str">
            <v>○</v>
          </cell>
          <cell r="S75" t="str">
            <v>法18×</v>
          </cell>
          <cell r="T75" t="str">
            <v>法18×</v>
          </cell>
          <cell r="U75" t="str">
            <v>法</v>
          </cell>
          <cell r="W75" t="str">
            <v>×</v>
          </cell>
          <cell r="AA75">
            <v>1701089</v>
          </cell>
          <cell r="AB75">
            <v>6</v>
          </cell>
          <cell r="AC75" t="str">
            <v>17G674</v>
          </cell>
          <cell r="AD75" t="str">
            <v xml:space="preserve"> </v>
          </cell>
          <cell r="AE75" t="str">
            <v>情報１</v>
          </cell>
          <cell r="AF75" t="str">
            <v>会計課調達室／サービス調達第１班</v>
          </cell>
          <cell r="AG75" t="str">
            <v>村松</v>
          </cell>
        </row>
        <row r="76">
          <cell r="A76" t="str">
            <v>法27</v>
          </cell>
          <cell r="B76">
            <v>27</v>
          </cell>
          <cell r="C76" t="str">
            <v>ｻﾞｲﾗﾁﾞｵ</v>
          </cell>
          <cell r="D76">
            <v>27</v>
          </cell>
          <cell r="F76" t="str">
            <v>財団法人　　ラヂオプレス</v>
          </cell>
          <cell r="H76" t="str">
            <v>「サハリン特報：サハリン新聞報道」資料作成経費</v>
          </cell>
          <cell r="I76" t="str">
            <v>外務省大臣官房
会計課長
上月豊久
東京都千代田区
霞が関２－２－１</v>
          </cell>
          <cell r="J76" t="str">
            <v>平成17/04/01</v>
          </cell>
          <cell r="K76">
            <v>4863252</v>
          </cell>
          <cell r="L76" t="str">
            <v>ＲＰは、２４時間体制でロシアのラジオニュースを聴取し、その翻訳にも高いロシア語能力の人材を豊富に擁し、ソ連時代からの情報・知識・経験の蓄積もあり、本件契約先として適切であることから、本件契約先としてＲＰ以外の選択肢はない（会計法第２９条の３第４項）。</v>
          </cell>
          <cell r="M76" t="str">
            <v>見直しの余地があるもの</v>
          </cell>
          <cell r="N76" t="str">
            <v>一般競争入札等に移行するための準備に時間を要するもの（１９年度以降において企画招請実施）</v>
          </cell>
          <cell r="P76" t="str">
            <v>所管法×</v>
          </cell>
          <cell r="Q76" t="str">
            <v>法</v>
          </cell>
          <cell r="S76" t="str">
            <v>法19②</v>
          </cell>
          <cell r="T76" t="str">
            <v>法19②</v>
          </cell>
          <cell r="U76" t="str">
            <v>法</v>
          </cell>
          <cell r="X76" t="str">
            <v>②</v>
          </cell>
          <cell r="AA76">
            <v>1701044</v>
          </cell>
          <cell r="AB76">
            <v>1</v>
          </cell>
          <cell r="AC76" t="str">
            <v>17G052</v>
          </cell>
          <cell r="AD76" t="str">
            <v>無指定</v>
          </cell>
          <cell r="AE76" t="str">
            <v>欧ロ</v>
          </cell>
          <cell r="AF76" t="str">
            <v>会計課調達室／サービス調達第１班</v>
          </cell>
          <cell r="AG76" t="str">
            <v>村松</v>
          </cell>
        </row>
        <row r="77">
          <cell r="A77" t="str">
            <v>法28</v>
          </cell>
          <cell r="B77">
            <v>28</v>
          </cell>
          <cell r="C77" t="str">
            <v>ｻﾞｲﾗﾁﾞｵ</v>
          </cell>
          <cell r="D77">
            <v>28</v>
          </cell>
          <cell r="F77" t="str">
            <v>財団法人　　ラヂオプレス</v>
          </cell>
          <cell r="H77" t="str">
            <v>ロシア月報作成</v>
          </cell>
          <cell r="I77" t="str">
            <v>外務省大臣官房
会計課長
上月豊久
東京都千代田区
霞が関２－２－１</v>
          </cell>
          <cell r="J77" t="str">
            <v>平成17/04/01</v>
          </cell>
          <cell r="K77">
            <v>3091056</v>
          </cell>
          <cell r="L77" t="str">
            <v>ＲＰは、２４時間体制でロシアのラジオニュースを聴取し、その翻訳にも高いロシア語能力の人材を豊富に擁し、ソ連時代からの情報・知識・経験の蓄積もあり、本件契約先として適切であると同時に、本件事業を実施するのに必要な公開情報の２４時間モニタリングを行う我が国唯一の機関であることから、本件契約先としてＲＰ以外の選択肢はない（会計法第２９条の３第４項）。</v>
          </cell>
          <cell r="M77" t="str">
            <v>見直しの余地があるもの</v>
          </cell>
          <cell r="N77" t="str">
            <v>一般競争入札等に移行するための準備に時間を要するもの（１９年度以降において企画招請実施）</v>
          </cell>
          <cell r="P77" t="str">
            <v>所管法×</v>
          </cell>
          <cell r="Q77" t="str">
            <v>法</v>
          </cell>
          <cell r="S77" t="str">
            <v>法19②</v>
          </cell>
          <cell r="T77" t="str">
            <v>法19②</v>
          </cell>
          <cell r="U77" t="str">
            <v>法</v>
          </cell>
          <cell r="X77" t="str">
            <v>②</v>
          </cell>
          <cell r="AA77">
            <v>1700419</v>
          </cell>
          <cell r="AB77">
            <v>1</v>
          </cell>
          <cell r="AC77" t="str">
            <v>17G048</v>
          </cell>
          <cell r="AD77" t="str">
            <v>無指定</v>
          </cell>
          <cell r="AE77" t="str">
            <v>欧ロ</v>
          </cell>
          <cell r="AF77" t="str">
            <v>会計課調達室／サービス調達第１班</v>
          </cell>
          <cell r="AG77" t="str">
            <v>村松</v>
          </cell>
        </row>
        <row r="78">
          <cell r="A78" t="str">
            <v>法29</v>
          </cell>
          <cell r="B78">
            <v>29</v>
          </cell>
          <cell r="C78" t="str">
            <v>ｻﾞｲﾗﾁﾞｵ</v>
          </cell>
          <cell r="D78">
            <v>29</v>
          </cell>
          <cell r="F78" t="str">
            <v>財団法人　
ラヂオプレス</v>
          </cell>
          <cell r="H78" t="str">
            <v>「北方領土情報」資料作成</v>
          </cell>
          <cell r="I78" t="str">
            <v>外務省大臣官房
会計課長
上月豊久
東京都千代田区
霞が関２－２－１</v>
          </cell>
          <cell r="J78" t="str">
            <v>平成17/04/01</v>
          </cell>
          <cell r="K78">
            <v>1250965</v>
          </cell>
          <cell r="L78" t="str">
            <v>ＲＰは、高いロシア語能力を有する人材を豊富に擁し、新聞、雑誌等の翻訳にも卓越しているのみならず、ソ連時代からの情報・知識・経験の蓄積もあり、本件契約先として適切であると同時に、本件事業を実施するのに必要な公開情報の２４時間モニタリングを行う我が国唯一の機関であることから、本件契約先としてＲＰ以外の選択肢はない（会計法第２９条の３第４項）。</v>
          </cell>
          <cell r="M78" t="str">
            <v>見直しの余地があるもの</v>
          </cell>
          <cell r="N78" t="str">
            <v>一般競争入札等に移行するための準備に時間を要するもの（１９年度以降において企画招請実施）</v>
          </cell>
          <cell r="P78" t="str">
            <v>所管法×</v>
          </cell>
          <cell r="Q78" t="str">
            <v>法</v>
          </cell>
          <cell r="S78" t="str">
            <v>法19②</v>
          </cell>
          <cell r="T78" t="str">
            <v>法19②</v>
          </cell>
          <cell r="U78" t="str">
            <v>法</v>
          </cell>
          <cell r="X78" t="str">
            <v>②</v>
          </cell>
          <cell r="AA78">
            <v>1700421</v>
          </cell>
          <cell r="AB78">
            <v>1</v>
          </cell>
          <cell r="AC78" t="str">
            <v>17G060</v>
          </cell>
          <cell r="AD78" t="str">
            <v>無指定</v>
          </cell>
          <cell r="AE78" t="str">
            <v>欧ロ</v>
          </cell>
          <cell r="AF78" t="str">
            <v>会計課調達室／サービス調達第１班</v>
          </cell>
          <cell r="AG78" t="str">
            <v>村松</v>
          </cell>
        </row>
        <row r="79">
          <cell r="A79" t="str">
            <v>法30</v>
          </cell>
          <cell r="B79">
            <v>30</v>
          </cell>
          <cell r="C79" t="str">
            <v>ｻﾞｲﾗﾁﾞｵ</v>
          </cell>
          <cell r="D79">
            <v>30</v>
          </cell>
          <cell r="F79" t="str">
            <v>財団法人
ラヂオプレス</v>
          </cell>
          <cell r="H79" t="str">
            <v>「北朝鮮軍事関連情報」の購入</v>
          </cell>
          <cell r="I79" t="str">
            <v>外務省大臣官房
会計課長
上月豊久
東京都千代田区
霞が関２－２－１</v>
          </cell>
          <cell r="J79" t="str">
            <v>平成17/04/01</v>
          </cell>
          <cell r="K79">
            <v>2116800</v>
          </cell>
          <cell r="L79" t="str">
            <v>出版元である（財）ラヂオプレスから直接購入するものであり、他に競争を許さない（会計法第２９条の３第４項）</v>
          </cell>
          <cell r="M79" t="str">
            <v>その他のもの</v>
          </cell>
          <cell r="N79" t="str">
            <v>ー
（随意契約によらざるを得ないもの）</v>
          </cell>
          <cell r="P79" t="str">
            <v>所管法×</v>
          </cell>
          <cell r="Q79" t="str">
            <v>法</v>
          </cell>
          <cell r="S79" t="str">
            <v>法1</v>
          </cell>
          <cell r="T79" t="str">
            <v>法1</v>
          </cell>
          <cell r="U79" t="str">
            <v>法</v>
          </cell>
          <cell r="V79" t="str">
            <v>●</v>
          </cell>
          <cell r="AA79">
            <v>1701057</v>
          </cell>
          <cell r="AB79">
            <v>1</v>
          </cell>
          <cell r="AC79" t="str">
            <v>17W147</v>
          </cell>
          <cell r="AD79" t="str">
            <v>無指定</v>
          </cell>
          <cell r="AE79" t="str">
            <v>情報１</v>
          </cell>
          <cell r="AF79" t="str">
            <v>会計課調達室／サービス調達第１班</v>
          </cell>
          <cell r="AG79" t="str">
            <v>村松</v>
          </cell>
        </row>
        <row r="80">
          <cell r="A80" t="str">
            <v>法31</v>
          </cell>
          <cell r="B80">
            <v>31</v>
          </cell>
          <cell r="C80" t="str">
            <v>ｻﾞｲﾗﾁﾞｵ</v>
          </cell>
          <cell r="D80">
            <v>31</v>
          </cell>
          <cell r="F80" t="str">
            <v>財団法人　
ラヂオプレス</v>
          </cell>
          <cell r="H80" t="str">
            <v>「イラク情報」の購入</v>
          </cell>
          <cell r="I80" t="str">
            <v>外務省大臣官房
会計課長
上月豊久
東京都千代田区
霞が関２－２－１</v>
          </cell>
          <cell r="J80" t="str">
            <v>平成17/04/01</v>
          </cell>
          <cell r="K80">
            <v>4893088</v>
          </cell>
          <cell r="L80" t="str">
            <v>出版元である（財）ラヂオプレスから直接購入するものであり、他に競争を許さない（会計法第２９条の３第４項）</v>
          </cell>
          <cell r="M80" t="str">
            <v>その他のもの</v>
          </cell>
          <cell r="N80" t="str">
            <v>ー
（随意契約によらざるを得ないもの）</v>
          </cell>
          <cell r="P80" t="str">
            <v>所管法×</v>
          </cell>
          <cell r="Q80" t="str">
            <v>法</v>
          </cell>
          <cell r="S80" t="str">
            <v>法1</v>
          </cell>
          <cell r="T80" t="str">
            <v>法1</v>
          </cell>
          <cell r="U80" t="str">
            <v>法</v>
          </cell>
          <cell r="V80" t="str">
            <v>●</v>
          </cell>
          <cell r="AA80">
            <v>1701058</v>
          </cell>
          <cell r="AB80">
            <v>1</v>
          </cell>
          <cell r="AC80" t="str">
            <v>17W149</v>
          </cell>
          <cell r="AD80" t="str">
            <v xml:space="preserve"> </v>
          </cell>
          <cell r="AE80" t="str">
            <v>情報１</v>
          </cell>
          <cell r="AF80" t="str">
            <v>会計課調達室／サービス調達第１班</v>
          </cell>
          <cell r="AG80" t="str">
            <v>村松</v>
          </cell>
        </row>
        <row r="81">
          <cell r="A81" t="str">
            <v>法32</v>
          </cell>
          <cell r="B81">
            <v>32</v>
          </cell>
          <cell r="C81" t="str">
            <v>ｻﾞｲﾗﾁﾞｵ</v>
          </cell>
          <cell r="D81">
            <v>32</v>
          </cell>
          <cell r="F81" t="str">
            <v>財団法人
ラヂオプレス</v>
          </cell>
          <cell r="H81" t="str">
            <v>「国際情勢ブリーフ」の購入</v>
          </cell>
          <cell r="I81" t="str">
            <v>外務省大臣官房
会計課長
上月豊久
東京都千代田区
霞が関２－２－１</v>
          </cell>
          <cell r="J81" t="str">
            <v>平成17/04/01</v>
          </cell>
          <cell r="K81">
            <v>3920712</v>
          </cell>
          <cell r="L81" t="str">
            <v>出版元である（財）ラヂオプレスから直接購入するものであり、他に競争を許さない（会計法第２９条の３第４項）</v>
          </cell>
          <cell r="M81" t="str">
            <v>その他のもの</v>
          </cell>
          <cell r="N81" t="str">
            <v>ー
（随意契約によらざるを得ないもの）</v>
          </cell>
          <cell r="P81" t="str">
            <v>所管法×</v>
          </cell>
          <cell r="Q81" t="str">
            <v>法</v>
          </cell>
          <cell r="S81" t="str">
            <v>法1</v>
          </cell>
          <cell r="T81" t="str">
            <v>法1</v>
          </cell>
          <cell r="U81" t="str">
            <v>法</v>
          </cell>
          <cell r="V81" t="str">
            <v>●</v>
          </cell>
          <cell r="AA81">
            <v>1701059</v>
          </cell>
          <cell r="AB81">
            <v>1</v>
          </cell>
          <cell r="AC81" t="str">
            <v>17G710</v>
          </cell>
          <cell r="AD81" t="str">
            <v xml:space="preserve"> </v>
          </cell>
          <cell r="AE81" t="str">
            <v>情報１</v>
          </cell>
          <cell r="AF81" t="str">
            <v>会計課調達室／サービス調達第１班</v>
          </cell>
          <cell r="AG81" t="str">
            <v>村松</v>
          </cell>
        </row>
        <row r="82">
          <cell r="A82" t="str">
            <v>法33</v>
          </cell>
          <cell r="B82">
            <v>33</v>
          </cell>
          <cell r="C82" t="str">
            <v>ｻﾞｲﾗﾁﾞｵ</v>
          </cell>
          <cell r="D82">
            <v>33</v>
          </cell>
          <cell r="F82" t="str">
            <v>財団法人　　ラヂオプレス</v>
          </cell>
          <cell r="H82" t="str">
            <v>北朝鮮、中国、ロシア等関係資料の購入</v>
          </cell>
          <cell r="I82" t="str">
            <v>外務省大臣官房
会計課長
上月豊久
東京都千代田区
霞が関２－２－１</v>
          </cell>
          <cell r="J82" t="str">
            <v>平成17/04/01</v>
          </cell>
          <cell r="K82">
            <v>61850028</v>
          </cell>
          <cell r="L82" t="str">
            <v>出版元である（財）ラヂオプレスから直接購入するものであり、他に競争を許さない（会計法第２９条の３第４項）</v>
          </cell>
          <cell r="M82" t="str">
            <v>その他のもの</v>
          </cell>
          <cell r="N82" t="str">
            <v>ー
（随意契約によらざるを得ないもの）</v>
          </cell>
          <cell r="P82" t="str">
            <v>所管法×</v>
          </cell>
          <cell r="Q82" t="str">
            <v>法</v>
          </cell>
          <cell r="S82" t="str">
            <v>法1</v>
          </cell>
          <cell r="T82" t="str">
            <v>法1</v>
          </cell>
          <cell r="U82" t="str">
            <v>法</v>
          </cell>
          <cell r="V82" t="str">
            <v>●</v>
          </cell>
          <cell r="AA82">
            <v>1701060</v>
          </cell>
          <cell r="AB82">
            <v>1</v>
          </cell>
          <cell r="AC82" t="str">
            <v>17W146</v>
          </cell>
          <cell r="AD82" t="str">
            <v xml:space="preserve"> </v>
          </cell>
          <cell r="AE82" t="str">
            <v>情報１</v>
          </cell>
          <cell r="AF82" t="str">
            <v>会計課調達室／サービス調達第１班</v>
          </cell>
          <cell r="AG82" t="str">
            <v>村松</v>
          </cell>
        </row>
        <row r="83">
          <cell r="A83" t="str">
            <v>法34</v>
          </cell>
          <cell r="B83">
            <v>34</v>
          </cell>
          <cell r="C83" t="str">
            <v>ｻﾞｲﾗﾁﾞｵ</v>
          </cell>
          <cell r="D83">
            <v>34</v>
          </cell>
          <cell r="F83" t="str">
            <v>財団法人　　ラヂオプレス</v>
          </cell>
          <cell r="H83" t="str">
            <v>「北朝鮮、中国、ロシア等関連ニュース」の購入</v>
          </cell>
          <cell r="I83" t="str">
            <v>外務省大臣官房
会計課長
上月豊久
東京都千代田区
霞が関２－２－１</v>
          </cell>
          <cell r="J83" t="str">
            <v>平成17/04/01</v>
          </cell>
          <cell r="K83">
            <v>108796500</v>
          </cell>
          <cell r="L83" t="str">
            <v>出版元である（財）ラヂオプレスから直接購入するものであり、他に競争を許さない（会計法第２９条の３第４項）</v>
          </cell>
          <cell r="M83" t="str">
            <v>その他のもの</v>
          </cell>
          <cell r="N83" t="str">
            <v>ー
（随意契約によらざるを得ないもの）</v>
          </cell>
          <cell r="P83" t="str">
            <v>所管法×</v>
          </cell>
          <cell r="Q83" t="str">
            <v>法</v>
          </cell>
          <cell r="S83" t="str">
            <v>法1</v>
          </cell>
          <cell r="T83" t="str">
            <v>法1</v>
          </cell>
          <cell r="U83" t="str">
            <v>法</v>
          </cell>
          <cell r="V83" t="str">
            <v>●</v>
          </cell>
          <cell r="AA83">
            <v>1701061</v>
          </cell>
          <cell r="AB83">
            <v>1</v>
          </cell>
          <cell r="AC83" t="str">
            <v>17W145</v>
          </cell>
          <cell r="AD83" t="str">
            <v>無指定</v>
          </cell>
          <cell r="AE83" t="str">
            <v>情報１</v>
          </cell>
          <cell r="AF83" t="str">
            <v>会計課調達室／サービス調達第１班</v>
          </cell>
          <cell r="AG83" t="str">
            <v>村松</v>
          </cell>
          <cell r="AI83" t="str">
            <v>行政目的を達成するために不可欠な情報の提供</v>
          </cell>
          <cell r="AJ83" t="str">
            <v>ニ（ヘ）</v>
          </cell>
        </row>
        <row r="84">
          <cell r="A84" t="str">
            <v>法35</v>
          </cell>
          <cell r="B84">
            <v>35</v>
          </cell>
          <cell r="C84" t="str">
            <v>ｻﾞｲﾗﾁﾞｵ</v>
          </cell>
          <cell r="D84">
            <v>35</v>
          </cell>
          <cell r="F84" t="str">
            <v>財団法人
ラヂオプレス</v>
          </cell>
          <cell r="H84" t="str">
            <v>「朝鮮民主主義人民共和国法典」の翻訳</v>
          </cell>
          <cell r="I84" t="str">
            <v>外務省大臣官房
会計課長
上月豊久
東京都千代田区
霞が関２－２－１</v>
          </cell>
          <cell r="J84" t="str">
            <v>平成17/06/23</v>
          </cell>
          <cell r="K84">
            <v>1732500</v>
          </cell>
          <cell r="L84" t="str">
            <v>「朝鮮民主主義人民共和国法典(大衆用)」の翻訳については、北朝鮮の体制の最新動向や事情・情勢等につき十分な知識を有し、右を的確に反映可能な能力を有することが不可欠。また、北朝鮮の公用語である「朝鮮語」には一般の「韓国語」とは異なる部分があり、右に堪能な者の数はその方面の研究者等ごく少数に限られる。当該財団は複数の研究者による組織的な対応が可能な唯一の者である（会計法第２９条の３第４項）。                                 　　　　　　　　　　　　　　　　　　　　　　　　　　　</v>
          </cell>
          <cell r="M84" t="str">
            <v>見直しの余地があるもの</v>
          </cell>
          <cell r="N84" t="str">
            <v>１８年度において当該事務・事業の委託等を行う予定なし</v>
          </cell>
          <cell r="P84" t="str">
            <v>所管法×</v>
          </cell>
          <cell r="Q84" t="str">
            <v>法</v>
          </cell>
          <cell r="S84" t="str">
            <v>法18×</v>
          </cell>
          <cell r="T84" t="str">
            <v>法18×</v>
          </cell>
          <cell r="U84" t="str">
            <v>法</v>
          </cell>
          <cell r="W84" t="str">
            <v>×</v>
          </cell>
          <cell r="AA84">
            <v>1700766</v>
          </cell>
          <cell r="AB84">
            <v>1</v>
          </cell>
          <cell r="AC84" t="str">
            <v>17G442</v>
          </cell>
          <cell r="AD84" t="str">
            <v>無指定</v>
          </cell>
          <cell r="AE84" t="str">
            <v>亜北</v>
          </cell>
          <cell r="AF84" t="str">
            <v>会計課調達室／サービス調達第２班</v>
          </cell>
          <cell r="AG84" t="str">
            <v>和田</v>
          </cell>
        </row>
        <row r="85">
          <cell r="A85" t="str">
            <v>法36</v>
          </cell>
          <cell r="B85">
            <v>36</v>
          </cell>
          <cell r="C85" t="str">
            <v>ｻﾞｲﾗﾁﾞｵ</v>
          </cell>
          <cell r="D85">
            <v>36</v>
          </cell>
          <cell r="F85" t="str">
            <v>財団法人　
ラヂオプレス</v>
          </cell>
          <cell r="H85" t="str">
            <v>「金正日選集　１５」の翻訳</v>
          </cell>
          <cell r="I85" t="str">
            <v>外務省大臣官房
会計課長
上月豊久
東京都千代田区
霞が関２－２－１</v>
          </cell>
          <cell r="J85" t="str">
            <v>平成18/01/31</v>
          </cell>
          <cell r="K85">
            <v>554400</v>
          </cell>
          <cell r="L85" t="str">
            <v>北朝鮮は独特の思想体系を持っており、翻訳には北朝鮮の歴史的経緯を理解し、且つ常に北朝鮮の報道に接し、翻訳作業を行っている者でなければ正確な翻訳を期待することができない。従って、本件の翻訳については、北朝鮮の政策意図について熟知しているラジオプレスに依頼することが不可欠（会計法第２９条の３第４項）。</v>
          </cell>
          <cell r="M85" t="str">
            <v>見直しの余地があるもの</v>
          </cell>
          <cell r="N85" t="str">
            <v>１８年度において当該事務・事業の委託等を行う予定なし</v>
          </cell>
          <cell r="P85" t="str">
            <v>所管法×</v>
          </cell>
          <cell r="Q85" t="str">
            <v>法</v>
          </cell>
          <cell r="S85" t="str">
            <v>法18×</v>
          </cell>
          <cell r="T85" t="str">
            <v>法18×</v>
          </cell>
          <cell r="U85" t="str">
            <v>法</v>
          </cell>
          <cell r="W85" t="str">
            <v>×</v>
          </cell>
          <cell r="AA85">
            <v>1701618</v>
          </cell>
          <cell r="AB85">
            <v>1</v>
          </cell>
          <cell r="AC85" t="str">
            <v>17H094</v>
          </cell>
          <cell r="AD85" t="str">
            <v>無指定</v>
          </cell>
          <cell r="AE85" t="str">
            <v>情報３</v>
          </cell>
          <cell r="AF85" t="str">
            <v>会計課調達室／サービス調達第２班</v>
          </cell>
          <cell r="AG85" t="str">
            <v>小林</v>
          </cell>
        </row>
        <row r="86">
          <cell r="A86" t="str">
            <v>法37</v>
          </cell>
          <cell r="B86">
            <v>37</v>
          </cell>
          <cell r="C86" t="str">
            <v>ｻﾞｲﾗﾁﾞｵ</v>
          </cell>
          <cell r="D86">
            <v>37</v>
          </cell>
          <cell r="F86" t="str">
            <v>財団法人　
ラヂオプレス</v>
          </cell>
          <cell r="H86" t="str">
            <v>北朝鮮の食料事情に関する研究</v>
          </cell>
          <cell r="I86" t="str">
            <v>外務省大臣官房
会計課長
上月豊久
東京都千代田区
霞が関２－２－１</v>
          </cell>
          <cell r="J86" t="str">
            <v>平成18/02/08</v>
          </cell>
          <cell r="K86">
            <v>1050000</v>
          </cell>
          <cell r="L86" t="str">
            <v>本件は北朝鮮の食糧事情に的を絞り込んだ調査。ほかにも複数の研究者に調査の可能性を打診したが、当該ラジオプレスだけが業務を遂行し得る状況にあったことから、随意契約とせざるを得ない（会計法２９条の３第４項）</v>
          </cell>
          <cell r="M86" t="str">
            <v>見直しの余地があるもの</v>
          </cell>
          <cell r="N86" t="str">
            <v>１８年度において当該事務・事業の委託等を行う予定なし</v>
          </cell>
          <cell r="P86" t="str">
            <v>所管法×</v>
          </cell>
          <cell r="Q86" t="str">
            <v>法</v>
          </cell>
          <cell r="S86" t="str">
            <v>法18×</v>
          </cell>
          <cell r="T86" t="str">
            <v>法18×</v>
          </cell>
          <cell r="U86" t="str">
            <v>法</v>
          </cell>
          <cell r="W86" t="str">
            <v>×</v>
          </cell>
          <cell r="AA86">
            <v>1701534</v>
          </cell>
          <cell r="AB86">
            <v>1</v>
          </cell>
          <cell r="AC86" t="str">
            <v>17H070</v>
          </cell>
          <cell r="AD86" t="str">
            <v>取扱注意</v>
          </cell>
          <cell r="AE86" t="str">
            <v>亜北</v>
          </cell>
          <cell r="AF86" t="str">
            <v>会計課調達室／サービス調達第１班</v>
          </cell>
          <cell r="AG86" t="str">
            <v>村松</v>
          </cell>
        </row>
        <row r="87">
          <cell r="A87" t="str">
            <v>法38</v>
          </cell>
          <cell r="B87">
            <v>38</v>
          </cell>
          <cell r="C87" t="str">
            <v>ｻﾞｲｶｲｶﾞｲｼｼﾞｮ</v>
          </cell>
          <cell r="D87">
            <v>38</v>
          </cell>
          <cell r="F87" t="str">
            <v>財団法人　海外子女教育振興財団</v>
          </cell>
          <cell r="H87" t="str">
            <v>諸外国の学校情報ホームページ情報更新</v>
          </cell>
          <cell r="I87" t="str">
            <v>外務省大臣官房
会計課長
上月豊久
東京都千代田区
霞が関２－２－１</v>
          </cell>
          <cell r="J87" t="str">
            <v>平成18/02/01</v>
          </cell>
          <cell r="K87">
            <v>2296371</v>
          </cell>
          <cell r="L87" t="str">
            <v>本団体は、海外子女教育に関する業務を行っている全国規模の公益法人であり、当方の業務の必要性に応じ蓄積された過去の全世界の教育情報データを更新できる唯一の者である。またシステムの開発業者という事からも随意契約とするもの（会計法第２９条の３第４項）</v>
          </cell>
          <cell r="M87" t="str">
            <v>見直しの余地があるもの</v>
          </cell>
          <cell r="N87" t="str">
            <v>一般競争入札等に移行するための準備に時間を要するもの（１９年度以降において一般競争入札実施）</v>
          </cell>
          <cell r="P87" t="str">
            <v>所管法×</v>
          </cell>
          <cell r="Q87" t="str">
            <v>法</v>
          </cell>
          <cell r="S87" t="str">
            <v>法19①</v>
          </cell>
          <cell r="T87" t="str">
            <v>法19①</v>
          </cell>
          <cell r="U87" t="str">
            <v>法</v>
          </cell>
          <cell r="X87" t="str">
            <v>①</v>
          </cell>
          <cell r="AA87">
            <v>1701506</v>
          </cell>
          <cell r="AB87">
            <v>1</v>
          </cell>
          <cell r="AC87" t="str">
            <v>17g539</v>
          </cell>
          <cell r="AD87" t="str">
            <v>無指定</v>
          </cell>
          <cell r="AE87" t="str">
            <v>領政</v>
          </cell>
          <cell r="AF87" t="str">
            <v>会計課調達室／サービス調達第１班</v>
          </cell>
          <cell r="AG87" t="str">
            <v>竹沢</v>
          </cell>
        </row>
        <row r="88">
          <cell r="A88" t="str">
            <v>法39</v>
          </cell>
          <cell r="B88">
            <v>39</v>
          </cell>
          <cell r="C88" t="str">
            <v>ｻﾞｲｶｲｶﾞｲﾎｳｼﾞﾝ</v>
          </cell>
          <cell r="D88">
            <v>39</v>
          </cell>
          <cell r="F88" t="str">
            <v>財団法人　
海外邦人医療基金</v>
          </cell>
          <cell r="H88" t="str">
            <v>平成１７年度外務省巡回医師団派遣</v>
          </cell>
          <cell r="I88" t="str">
            <v>外務省大臣官房
会計課長
上月豊久
東京都千代田区
霞が関２－２－１</v>
          </cell>
          <cell r="J88" t="str">
            <v>平成17/04/18</v>
          </cell>
          <cell r="K88">
            <v>4185900</v>
          </cell>
          <cell r="L88" t="str">
            <v>当該基金は、海外で長期滞在する邦人に対する医療サービスの確保が困難であるとの事情に対応するために、経済界が中心になって設立した純民間の財団法人。海外における適切な医療サービスの安定的な確保は邦人の強い要請であり、民間の努力に協力する形で本件事業を実施し、当該財団にノウハウを蓄積することは政策上不可欠（会計法第２９条の３第４項）。</v>
          </cell>
          <cell r="M88" t="str">
            <v>見直しの余地があるもの</v>
          </cell>
          <cell r="N88" t="str">
            <v>一般競争入札等に移行するための準備に時間を要する者（２０年度以降において公募実施）</v>
          </cell>
          <cell r="P88" t="str">
            <v>所管法×</v>
          </cell>
          <cell r="Q88" t="str">
            <v>法</v>
          </cell>
          <cell r="S88" t="str">
            <v>法20②</v>
          </cell>
          <cell r="T88" t="str">
            <v>法20②</v>
          </cell>
          <cell r="U88" t="str">
            <v>法</v>
          </cell>
          <cell r="Y88" t="str">
            <v>②</v>
          </cell>
          <cell r="AA88">
            <v>1700423</v>
          </cell>
          <cell r="AB88">
            <v>1</v>
          </cell>
          <cell r="AC88" t="str">
            <v>17G064</v>
          </cell>
          <cell r="AD88" t="str">
            <v>無指定</v>
          </cell>
          <cell r="AE88" t="str">
            <v>領政</v>
          </cell>
          <cell r="AF88" t="str">
            <v>会計課調達室／サービス調達第１班</v>
          </cell>
          <cell r="AG88" t="str">
            <v>村松</v>
          </cell>
        </row>
        <row r="89">
          <cell r="A89" t="str">
            <v>法40</v>
          </cell>
          <cell r="B89">
            <v>40</v>
          </cell>
          <cell r="C89" t="str">
            <v>ｻﾞｲｹﾞﾝｺﾞ</v>
          </cell>
          <cell r="D89">
            <v>40</v>
          </cell>
          <cell r="F89" t="str">
            <v>財団法人　
言語文化研究所</v>
          </cell>
          <cell r="H89" t="str">
            <v>マンスフィールド研修計画（日米行政官交流計画）日本語研修</v>
          </cell>
          <cell r="I89" t="str">
            <v>外務省大臣官房
会計課長
上月豊久
東京都千代田区
霞が関２－２－１</v>
          </cell>
          <cell r="J89" t="str">
            <v>平成17/04/01</v>
          </cell>
          <cell r="K89">
            <v>1064350</v>
          </cell>
          <cell r="L89" t="str">
            <v>本事業の研修期間（９月～８月）の都合上、後半部分（４月～８月）については一般競争入札により前半部分（９月～３月）を落札した者と随意契約せざるを得ない（会計法第２９条の３第４項）。</v>
          </cell>
          <cell r="M89" t="str">
            <v>見直しの余地があるもの</v>
          </cell>
          <cell r="N89" t="str">
            <v>一般競争入札等に移行するための準備に時間を要するもの（１９年度以降において一般競争入札実施）</v>
          </cell>
          <cell r="P89" t="str">
            <v>所管法×</v>
          </cell>
          <cell r="Q89" t="str">
            <v>法</v>
          </cell>
          <cell r="S89" t="str">
            <v>法19①</v>
          </cell>
          <cell r="T89" t="str">
            <v>法19①</v>
          </cell>
          <cell r="U89" t="str">
            <v>法</v>
          </cell>
          <cell r="X89" t="str">
            <v>①</v>
          </cell>
          <cell r="AA89">
            <v>1700488</v>
          </cell>
          <cell r="AB89">
            <v>1</v>
          </cell>
          <cell r="AC89" t="str">
            <v>17G082</v>
          </cell>
          <cell r="AD89" t="str">
            <v>無指定</v>
          </cell>
          <cell r="AE89" t="str">
            <v>北米１</v>
          </cell>
          <cell r="AF89" t="str">
            <v>会計課調達室／サービス調達第１班</v>
          </cell>
          <cell r="AG89" t="str">
            <v>竹澤</v>
          </cell>
        </row>
        <row r="90">
          <cell r="A90" t="str">
            <v>法41</v>
          </cell>
          <cell r="B90">
            <v>41</v>
          </cell>
          <cell r="C90" t="str">
            <v>ｻﾞｲｺｸｻｲｶｲﾊﾂｾﾝﾀｰ</v>
          </cell>
          <cell r="D90">
            <v>41</v>
          </cell>
          <cell r="F90" t="str">
            <v>財団法人　
国際開発センター</v>
          </cell>
          <cell r="H90" t="str">
            <v>ＯＤＡ評価「タンザニア国別評価」（企画招請）</v>
          </cell>
          <cell r="I90" t="str">
            <v>外務省大臣官房
会計課長
上月豊久
東京都千代田区
霞が関２－２－１</v>
          </cell>
          <cell r="J90" t="str">
            <v>平成17/08/02</v>
          </cell>
          <cell r="K90">
            <v>21000000</v>
          </cell>
          <cell r="L90"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90" t="str">
            <v>見直しの余地があるもの</v>
          </cell>
          <cell r="N90" t="str">
            <v>一般競争入札等に移行したもの（企画招請実施）</v>
          </cell>
          <cell r="P90" t="str">
            <v>所管法○</v>
          </cell>
          <cell r="Q90" t="str">
            <v>法</v>
          </cell>
          <cell r="R90" t="str">
            <v>○</v>
          </cell>
          <cell r="S90" t="str">
            <v>法18②</v>
          </cell>
          <cell r="T90" t="str">
            <v>法18②</v>
          </cell>
          <cell r="U90" t="str">
            <v>法</v>
          </cell>
          <cell r="W90" t="str">
            <v>②</v>
          </cell>
          <cell r="AA90">
            <v>1701076</v>
          </cell>
          <cell r="AB90">
            <v>1</v>
          </cell>
          <cell r="AC90" t="str">
            <v>17G587</v>
          </cell>
          <cell r="AD90" t="str">
            <v>取扱注意</v>
          </cell>
          <cell r="AE90" t="str">
            <v>経協計</v>
          </cell>
          <cell r="AF90" t="str">
            <v>会計課調達室／サービス調達第１班</v>
          </cell>
          <cell r="AG90" t="str">
            <v>村松</v>
          </cell>
        </row>
        <row r="91">
          <cell r="A91" t="str">
            <v>法42</v>
          </cell>
          <cell r="B91">
            <v>42</v>
          </cell>
          <cell r="C91" t="str">
            <v>ｻﾞｲｺｸｻｲｶｲﾊﾂ</v>
          </cell>
          <cell r="D91">
            <v>42</v>
          </cell>
          <cell r="F91" t="str">
            <v>財団法人　　国際開発高等教育機構</v>
          </cell>
          <cell r="H91" t="str">
            <v>開発援助人材育成・振興委託費</v>
          </cell>
          <cell r="I91" t="str">
            <v>外務省大臣官房
会計課長
上月豊久
東京都千代田区
霞が関２－２－１</v>
          </cell>
          <cell r="J91" t="str">
            <v>平成17/04/01</v>
          </cell>
          <cell r="K91">
            <v>718559000</v>
          </cell>
          <cell r="L91" t="str">
            <v>本財団は、我が国における官民双方の開発援助人材育成を目的として平成２年に設立された財団であり、現在、政策研究大学院大学と連携し、大学院教育を実施している。大学院教育は、教育に２年、募集期間も含めると３ヵ年度以上に亘るものであり、カリキュラムや教授陣を含むスタッフ、さらに授業料等の変更を伴う委託先の見直しは、学生にとって著しい不都合をもたらす。学生は毎年新たに入学することから、本財団と事業を継続していく他に選択肢がない（会計法第２９条の３第４項）。</v>
          </cell>
          <cell r="M91" t="str">
            <v>見直しの余地があるもの</v>
          </cell>
          <cell r="N91" t="str">
            <v>一般競争入札等に移行するための準備に時間を要するもの（２１年度以降において公募実施）</v>
          </cell>
          <cell r="P91" t="str">
            <v>所管法×</v>
          </cell>
          <cell r="Q91" t="str">
            <v>法</v>
          </cell>
          <cell r="S91" t="str">
            <v>法21②</v>
          </cell>
          <cell r="T91" t="str">
            <v>法21②</v>
          </cell>
          <cell r="U91" t="str">
            <v>法</v>
          </cell>
          <cell r="Z91" t="str">
            <v>②</v>
          </cell>
          <cell r="AI91" t="str">
            <v>業務の特殊性、事業内容の複雑さのため、仕様書や競争の方法等を整えるのに時間を要するため
(H21.01.26回答）
(備考欄に追加）21年度の契約については、すでに公募の手続きを実施済み。</v>
          </cell>
          <cell r="AJ91" t="str">
            <v>平成21年度</v>
          </cell>
        </row>
        <row r="92">
          <cell r="A92" t="str">
            <v>法43</v>
          </cell>
          <cell r="B92">
            <v>43</v>
          </cell>
          <cell r="C92" t="str">
            <v>ｻﾞｲｺｸｻｲｶｲﾊﾂ</v>
          </cell>
          <cell r="D92">
            <v>43</v>
          </cell>
          <cell r="F92" t="str">
            <v>財団法人　
国際開発高等教育機構</v>
          </cell>
          <cell r="H92" t="str">
            <v>平成１７年度外務省開発セミナーの実施（経済協力担当官のための開発セミナー）</v>
          </cell>
          <cell r="I92" t="str">
            <v>外務省大臣官房
会計課長
上月豊久
東京都千代田区
霞が関２－２－１</v>
          </cell>
          <cell r="J92" t="str">
            <v>平成17/07/25</v>
          </cell>
          <cell r="K92">
            <v>4474793</v>
          </cell>
          <cell r="L92" t="str">
            <v>本財団は、我が国における官民双方の開発協力の知見を集約し、開発援助に携わる人材育成を目的として平成２年に設立された財団であり、我が国全体の経済協力の実質的な強化を目指すという政策目的に鑑み、実務担当者向けの研修に必要なノウハウを本財団に蓄積することが、官民双方の開発援助関係者の利益に適う。従って、本件委嘱先は本財団以外に選択肢がない（会計法第２９条の３第４項）。</v>
          </cell>
          <cell r="M92" t="str">
            <v>見直しの余地があるもの</v>
          </cell>
          <cell r="N92" t="str">
            <v>一般競争入札等に移行するための準備に時間を要するもの（１９年度以降において公募実施）</v>
          </cell>
          <cell r="P92" t="str">
            <v>所管法×</v>
          </cell>
          <cell r="Q92" t="str">
            <v>法</v>
          </cell>
          <cell r="S92" t="str">
            <v>法19②</v>
          </cell>
          <cell r="T92" t="str">
            <v>法19②</v>
          </cell>
          <cell r="U92" t="str">
            <v>法</v>
          </cell>
          <cell r="X92" t="str">
            <v>②</v>
          </cell>
          <cell r="AA92">
            <v>1700872</v>
          </cell>
          <cell r="AB92">
            <v>1</v>
          </cell>
          <cell r="AC92" t="str">
            <v>17G513</v>
          </cell>
          <cell r="AD92" t="str">
            <v>無指定</v>
          </cell>
          <cell r="AE92" t="str">
            <v>経協政</v>
          </cell>
          <cell r="AF92" t="str">
            <v>会計課調達室／サービス調達第１班</v>
          </cell>
          <cell r="AG92" t="str">
            <v>村松</v>
          </cell>
        </row>
        <row r="93">
          <cell r="A93" t="str">
            <v>法44</v>
          </cell>
          <cell r="B93">
            <v>44</v>
          </cell>
          <cell r="C93" t="str">
            <v>ｻﾞｲｺｸｻｲｶｲﾊﾂ</v>
          </cell>
          <cell r="D93">
            <v>44</v>
          </cell>
          <cell r="F93" t="str">
            <v>財団法人　
国際開発高等教育機構</v>
          </cell>
          <cell r="H93" t="str">
            <v>ＯＤＡ評価「カンボジア国別評価」（企画招請）</v>
          </cell>
          <cell r="I93" t="str">
            <v>外務省大臣官房
会計課長
上月豊久
東京都千代田区
霞が関２－２－１</v>
          </cell>
          <cell r="J93" t="str">
            <v>平成17/08/18</v>
          </cell>
          <cell r="K93">
            <v>20587350</v>
          </cell>
          <cell r="L93"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93" t="str">
            <v>見直しの余地があるもの</v>
          </cell>
          <cell r="N93" t="str">
            <v>一般競争入札等に移行したもの（企画招請実施）</v>
          </cell>
          <cell r="P93" t="str">
            <v>所管法○</v>
          </cell>
          <cell r="Q93" t="str">
            <v>法</v>
          </cell>
          <cell r="R93" t="str">
            <v>○</v>
          </cell>
          <cell r="S93" t="str">
            <v>法18②</v>
          </cell>
          <cell r="T93" t="str">
            <v>法18②</v>
          </cell>
          <cell r="U93" t="str">
            <v>法</v>
          </cell>
          <cell r="W93" t="str">
            <v>②</v>
          </cell>
          <cell r="AA93">
            <v>1700989</v>
          </cell>
          <cell r="AB93">
            <v>1</v>
          </cell>
          <cell r="AC93" t="str">
            <v>17G613</v>
          </cell>
          <cell r="AD93" t="str">
            <v>取扱注意</v>
          </cell>
          <cell r="AE93" t="str">
            <v>経協計</v>
          </cell>
          <cell r="AF93" t="str">
            <v>会計課調達室／サービス調達第１班</v>
          </cell>
          <cell r="AG93" t="str">
            <v>村松</v>
          </cell>
        </row>
        <row r="94">
          <cell r="A94" t="str">
            <v>法45</v>
          </cell>
          <cell r="B94">
            <v>45</v>
          </cell>
          <cell r="C94" t="str">
            <v>ｻﾞｲｺｸｻｲｶｲﾊﾂ</v>
          </cell>
          <cell r="D94">
            <v>45</v>
          </cell>
          <cell r="F94" t="str">
            <v>財団法人　
国際開発高等教育機構</v>
          </cell>
          <cell r="H94" t="str">
            <v>政策レベル・プログラムレベル評価に対する研修事業（企画招請）</v>
          </cell>
          <cell r="I94" t="str">
            <v>外務省大臣官房
会計課長
上月豊久
東京都千代田区
霞が関２－２－１</v>
          </cell>
          <cell r="J94" t="str">
            <v>平成17/10/13</v>
          </cell>
          <cell r="K94">
            <v>3823000</v>
          </cell>
          <cell r="L94"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94" t="str">
            <v>見直しの余地があるもの</v>
          </cell>
          <cell r="N94" t="str">
            <v>一般競争入札等に移行したもの（企画招請実施）</v>
          </cell>
          <cell r="P94" t="str">
            <v>所管法○</v>
          </cell>
          <cell r="Q94" t="str">
            <v>法</v>
          </cell>
          <cell r="R94" t="str">
            <v>○</v>
          </cell>
          <cell r="S94" t="str">
            <v>法18②</v>
          </cell>
          <cell r="T94" t="str">
            <v>法18②</v>
          </cell>
          <cell r="U94" t="str">
            <v>法</v>
          </cell>
          <cell r="W94" t="str">
            <v>②</v>
          </cell>
          <cell r="AA94">
            <v>1701124</v>
          </cell>
          <cell r="AB94">
            <v>1</v>
          </cell>
          <cell r="AC94" t="str">
            <v>17G784</v>
          </cell>
          <cell r="AD94" t="str">
            <v>取扱注意</v>
          </cell>
          <cell r="AE94" t="str">
            <v>経協計</v>
          </cell>
          <cell r="AF94" t="str">
            <v>会計課調達室／サービス調達第１班</v>
          </cell>
          <cell r="AG94" t="str">
            <v>村松</v>
          </cell>
        </row>
        <row r="95">
          <cell r="A95" t="str">
            <v>法46</v>
          </cell>
          <cell r="B95">
            <v>46</v>
          </cell>
          <cell r="C95" t="str">
            <v>ｻﾞｲｺｸｻｲｷｮｳﾘｮｸｽｲ</v>
          </cell>
          <cell r="D95">
            <v>46</v>
          </cell>
          <cell r="F95" t="str">
            <v>財団法人　　国際協力推進協会</v>
          </cell>
          <cell r="H95" t="str">
            <v>国際協力プラザ事業</v>
          </cell>
          <cell r="I95" t="str">
            <v>外務省大臣官房
会計課長
上月豊久
東京都千代田区
霞が関２－２－１</v>
          </cell>
          <cell r="J95" t="str">
            <v>平成17/04/01</v>
          </cell>
          <cell r="K95">
            <v>146076281</v>
          </cell>
          <cell r="L95" t="str">
            <v>国際協力プラザ事業は、平成１５年度に企画招請により国際協力推進協会（ＡＰＩＣ）に事業委嘱している。本件事業は、広報センターの運営を通じて、ＯＤＡに対する国民の理解を促進することが主たる目的であり、利用者（国民）の利便性を第１に考え「国際協力プラザ」の場所をある一定期間継続・維持することが必要である（会計法第２９条の３第４項）。</v>
          </cell>
          <cell r="M95" t="str">
            <v>見直しの余地があるもの</v>
          </cell>
          <cell r="N95" t="str">
            <v>一般競争入札等に移行するための準備に時間を要する者（２０年度以降において公募実施）</v>
          </cell>
          <cell r="P95" t="str">
            <v>所管法×</v>
          </cell>
          <cell r="Q95" t="str">
            <v>法</v>
          </cell>
          <cell r="S95" t="str">
            <v>法20②</v>
          </cell>
          <cell r="T95" t="str">
            <v>法20②</v>
          </cell>
          <cell r="U95" t="str">
            <v>法</v>
          </cell>
          <cell r="Y95" t="str">
            <v>②</v>
          </cell>
          <cell r="AA95">
            <v>1700573</v>
          </cell>
          <cell r="AB95">
            <v>1</v>
          </cell>
          <cell r="AC95" t="str">
            <v>17G199</v>
          </cell>
          <cell r="AD95" t="str">
            <v>無指定</v>
          </cell>
          <cell r="AE95" t="str">
            <v>経協政</v>
          </cell>
          <cell r="AF95" t="str">
            <v>会計課調達室／サービス調達第１班</v>
          </cell>
          <cell r="AG95" t="str">
            <v>村松</v>
          </cell>
        </row>
        <row r="96">
          <cell r="A96" t="str">
            <v>法47</v>
          </cell>
          <cell r="B96">
            <v>47</v>
          </cell>
          <cell r="C96" t="str">
            <v>ｻﾞｲｺｸｻｲｷｮｳﾘｮｸｽｲ</v>
          </cell>
          <cell r="D96">
            <v>47</v>
          </cell>
          <cell r="F96" t="str">
            <v>財団法人　
国際協力推進協会</v>
          </cell>
          <cell r="H96" t="str">
            <v>ＯＤＡ民間モニター事業（企画招請）</v>
          </cell>
          <cell r="I96" t="str">
            <v>外務省大臣官房
会計課長
上月豊久
東京都千代田区
霞が関２－２－１</v>
          </cell>
          <cell r="J96" t="str">
            <v>平成17/04/05</v>
          </cell>
          <cell r="K96">
            <v>132525712</v>
          </cell>
          <cell r="L96"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96" t="str">
            <v>見直しの余地があるもの</v>
          </cell>
          <cell r="N96" t="str">
            <v>一般競争入札等に移行したもの（企画招請実施）</v>
          </cell>
          <cell r="P96" t="str">
            <v>所管法○</v>
          </cell>
          <cell r="Q96" t="str">
            <v>法</v>
          </cell>
          <cell r="R96" t="str">
            <v>○</v>
          </cell>
          <cell r="S96" t="str">
            <v>法18②</v>
          </cell>
          <cell r="T96" t="str">
            <v>法18②</v>
          </cell>
          <cell r="U96" t="str">
            <v>法</v>
          </cell>
          <cell r="W96" t="str">
            <v>②</v>
          </cell>
          <cell r="AA96">
            <v>1700361</v>
          </cell>
          <cell r="AB96">
            <v>1</v>
          </cell>
          <cell r="AC96" t="str">
            <v>17X025</v>
          </cell>
          <cell r="AD96" t="str">
            <v>無指定</v>
          </cell>
          <cell r="AE96" t="str">
            <v>経協政</v>
          </cell>
          <cell r="AF96" t="str">
            <v>会計課調達室／サービス調達第１班</v>
          </cell>
          <cell r="AG96" t="str">
            <v>村松</v>
          </cell>
        </row>
        <row r="97">
          <cell r="A97" t="str">
            <v>法48</v>
          </cell>
          <cell r="B97">
            <v>48</v>
          </cell>
          <cell r="C97" t="str">
            <v>ｻﾞｲｺｸｻｲｷｮｳﾘｮｸｽｲ</v>
          </cell>
          <cell r="D97">
            <v>48</v>
          </cell>
          <cell r="F97" t="str">
            <v>財団法人　　国際協力推進協会</v>
          </cell>
          <cell r="H97" t="str">
            <v>「経済協力参加への手引き」の改訂ならびにデータ化</v>
          </cell>
          <cell r="I97" t="str">
            <v>外務省大臣官房
会計課長
上月豊久
東京都千代田区
霞が関２－２－１</v>
          </cell>
          <cell r="J97" t="str">
            <v>平成17/12/07</v>
          </cell>
          <cell r="K97">
            <v>1979230</v>
          </cell>
          <cell r="L97" t="str">
            <v>「経済協力参加への手引き」については、(財)国際協力推進協会が改訂し、冊子として発行していたものを買い上げる方式をとっていたために、同財団が出版元として著作権を有している（会計法第２９条の３第４項）。</v>
          </cell>
          <cell r="M97" t="str">
            <v>見直しの余地があるもの</v>
          </cell>
          <cell r="N97" t="str">
            <v>１８年度において当該事務・事業の委託等を行う予定なし</v>
          </cell>
          <cell r="P97" t="str">
            <v>所管法×</v>
          </cell>
          <cell r="Q97" t="str">
            <v>法</v>
          </cell>
          <cell r="S97" t="str">
            <v>法18×</v>
          </cell>
          <cell r="T97" t="str">
            <v>法18×</v>
          </cell>
          <cell r="U97" t="str">
            <v>法</v>
          </cell>
          <cell r="W97" t="str">
            <v>×</v>
          </cell>
          <cell r="AA97">
            <v>1701316</v>
          </cell>
          <cell r="AB97">
            <v>1</v>
          </cell>
          <cell r="AC97" t="str">
            <v>17X371</v>
          </cell>
          <cell r="AD97" t="str">
            <v>無指定</v>
          </cell>
          <cell r="AE97" t="str">
            <v>経協政</v>
          </cell>
          <cell r="AF97" t="str">
            <v>会計課調達室／サービス調達第１班</v>
          </cell>
          <cell r="AG97" t="str">
            <v>村松</v>
          </cell>
        </row>
        <row r="98">
          <cell r="A98" t="str">
            <v>法49</v>
          </cell>
          <cell r="B98">
            <v>49</v>
          </cell>
          <cell r="C98" t="str">
            <v>ｻﾞｲｺｸｻｲｹﾝｼｭｳ</v>
          </cell>
          <cell r="D98">
            <v>49</v>
          </cell>
          <cell r="F98" t="str">
            <v>財団法人　　国際研修協力機構</v>
          </cell>
          <cell r="H98" t="str">
            <v>開発途上国からの研修生等受入に伴う実態調査</v>
          </cell>
          <cell r="I98" t="str">
            <v>外務省大臣官房
会計課長
上月豊久
東京都千代田区
霞が関２－２－１</v>
          </cell>
          <cell r="J98" t="str">
            <v>平成17/11/09</v>
          </cell>
          <cell r="K98">
            <v>3814889</v>
          </cell>
          <cell r="L98" t="str">
            <v>技能実習生の帰国後における本調査を効果的に実施するためには、同実習生を我が国に送出している国々の諸事情に精通し、且つ、帰国技能実習生の居所、雇用先等につき詳細な情報を把握している必要があり、そのためにこれらの国々の政府関係機関等からこれらの情報を確実に入手できる機関であることが求められる。本機構は「技能実習制度」の中核機関であり、政府関係機関等との定期協議等を通じ、これらの情報を入手し得る唯一の機関である（会計法第２９条の３第４項）。</v>
          </cell>
          <cell r="M98" t="str">
            <v>見直しの余地があるもの</v>
          </cell>
          <cell r="N98" t="str">
            <v>一般競争入札等に移行するための準備に時間を要するもの（１９年度以降において一般競争入札実施、但し関係国の同意が必要）</v>
          </cell>
          <cell r="P98" t="str">
            <v>所管法×</v>
          </cell>
          <cell r="Q98" t="str">
            <v>法</v>
          </cell>
          <cell r="S98" t="str">
            <v>法19①</v>
          </cell>
          <cell r="T98" t="str">
            <v>法19①</v>
          </cell>
          <cell r="U98" t="str">
            <v>法</v>
          </cell>
          <cell r="X98" t="str">
            <v>①</v>
          </cell>
          <cell r="AA98">
            <v>1701370</v>
          </cell>
          <cell r="AB98">
            <v>1</v>
          </cell>
          <cell r="AC98" t="str">
            <v>17G874</v>
          </cell>
          <cell r="AD98" t="str">
            <v>取扱注意</v>
          </cell>
          <cell r="AE98" t="str">
            <v>領外</v>
          </cell>
          <cell r="AF98" t="str">
            <v>会計課調達室／サービス調達第１班</v>
          </cell>
          <cell r="AG98" t="str">
            <v>竹澤</v>
          </cell>
        </row>
        <row r="99">
          <cell r="A99" t="str">
            <v>法50</v>
          </cell>
          <cell r="B99">
            <v>50</v>
          </cell>
          <cell r="C99" t="str">
            <v>ｻﾞｲｺｸｻｲﾌﾞﾝｶｺｳﾘｭｳ</v>
          </cell>
          <cell r="D99">
            <v>50</v>
          </cell>
          <cell r="F99" t="str">
            <v>財団法人　　　国際文化交流推進協会</v>
          </cell>
          <cell r="H99" t="str">
            <v>日中相互理解に関する研究－日中相互理解の文化・教育交流を中心として（企画招請）</v>
          </cell>
          <cell r="I99" t="str">
            <v>外務省大臣官房
会計課長
上月豊久
東京都千代田区
霞が関２－２－１</v>
          </cell>
          <cell r="J99" t="str">
            <v>平成17/10/13</v>
          </cell>
          <cell r="K99">
            <v>2516945</v>
          </cell>
          <cell r="L99"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99" t="str">
            <v>見直しの余地があるもの</v>
          </cell>
          <cell r="N99" t="str">
            <v>一般競争入札等に移行したもの（企画招請実施）</v>
          </cell>
          <cell r="P99" t="str">
            <v>所管法○</v>
          </cell>
          <cell r="Q99" t="str">
            <v>法</v>
          </cell>
          <cell r="R99" t="str">
            <v>○</v>
          </cell>
          <cell r="S99" t="str">
            <v>法18②</v>
          </cell>
          <cell r="T99" t="str">
            <v>法18②</v>
          </cell>
          <cell r="U99" t="str">
            <v>法</v>
          </cell>
          <cell r="W99" t="str">
            <v>②</v>
          </cell>
          <cell r="AA99">
            <v>1701228</v>
          </cell>
          <cell r="AB99">
            <v>1</v>
          </cell>
          <cell r="AC99" t="str">
            <v>17G791</v>
          </cell>
          <cell r="AD99" t="str">
            <v>極秘</v>
          </cell>
          <cell r="AE99" t="str">
            <v>亜中</v>
          </cell>
          <cell r="AF99" t="str">
            <v>会計課調達室／サービス調達第２班</v>
          </cell>
          <cell r="AG99" t="str">
            <v>荒井</v>
          </cell>
        </row>
        <row r="100">
          <cell r="A100" t="str">
            <v>法51</v>
          </cell>
          <cell r="B100">
            <v>51</v>
          </cell>
          <cell r="C100" t="str">
            <v>ｻﾞｲｺｸｻｲﾌﾞﾝｶ</v>
          </cell>
          <cell r="D100">
            <v>51</v>
          </cell>
          <cell r="F100" t="str">
            <v>財団法人　　国際文化交流推進協会</v>
          </cell>
          <cell r="H100" t="str">
            <v>厳紹盪北京大学中文系教授・比較文化研究所所長他１名の訪日招聘（企画招請）</v>
          </cell>
          <cell r="I100" t="str">
            <v>外務省大臣官房
会計課長
上月豊久
東京都千代田区
霞が関２－２－１</v>
          </cell>
          <cell r="J100" t="str">
            <v>平成17/11/22</v>
          </cell>
          <cell r="K100">
            <v>1293630</v>
          </cell>
          <cell r="L100"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00" t="str">
            <v>見直しの余地があるもの</v>
          </cell>
          <cell r="N100" t="str">
            <v>一般競争入札等に移行したもの（企画招請実施）</v>
          </cell>
          <cell r="P100" t="str">
            <v>所管法○</v>
          </cell>
          <cell r="Q100" t="str">
            <v>法</v>
          </cell>
          <cell r="R100" t="str">
            <v>○</v>
          </cell>
          <cell r="S100" t="str">
            <v>法18②</v>
          </cell>
          <cell r="T100" t="str">
            <v>法18②</v>
          </cell>
          <cell r="U100" t="str">
            <v>法</v>
          </cell>
          <cell r="W100" t="str">
            <v>②</v>
          </cell>
          <cell r="AA100">
            <v>1701375</v>
          </cell>
          <cell r="AB100">
            <v>1</v>
          </cell>
          <cell r="AC100" t="str">
            <v>17F207</v>
          </cell>
          <cell r="AD100" t="str">
            <v>無指定</v>
          </cell>
          <cell r="AE100" t="str">
            <v>亜中</v>
          </cell>
          <cell r="AF100" t="str">
            <v>会計課調達室／サービス調達第２班</v>
          </cell>
          <cell r="AG100" t="str">
            <v>荒井</v>
          </cell>
        </row>
        <row r="101">
          <cell r="A101" t="str">
            <v>法52</v>
          </cell>
          <cell r="B101">
            <v>52</v>
          </cell>
          <cell r="C101" t="str">
            <v>ｻﾞｲｾｶｲﾉｳｺﾞｷ</v>
          </cell>
          <cell r="D101">
            <v>52</v>
          </cell>
          <cell r="F101" t="str">
            <v>財団法人　　　世界の動き社</v>
          </cell>
          <cell r="H101" t="str">
            <v>「２００５年度版　『世界の国一覧表』」の購入</v>
          </cell>
          <cell r="I101" t="str">
            <v>外務省大臣官房
会計課長
上月豊久
東京都千代田区
霞が関２－２－１</v>
          </cell>
          <cell r="J101" t="str">
            <v>平成17/04/28</v>
          </cell>
          <cell r="K101">
            <v>2100000</v>
          </cell>
          <cell r="L101" t="str">
            <v>出版元である（財）世界の動き社から直接購入するものであり、他に競争を許さない（会計法第２９条の３第４項）。</v>
          </cell>
          <cell r="M101" t="str">
            <v>その他のもの</v>
          </cell>
          <cell r="N101" t="str">
            <v>ー
（随意契約によらざるを得ないもの）</v>
          </cell>
          <cell r="P101" t="str">
            <v>所管法×</v>
          </cell>
          <cell r="Q101" t="str">
            <v>法</v>
          </cell>
          <cell r="S101" t="str">
            <v>法1</v>
          </cell>
          <cell r="T101" t="str">
            <v>法1</v>
          </cell>
          <cell r="U101" t="str">
            <v>法</v>
          </cell>
          <cell r="V101" t="str">
            <v>●</v>
          </cell>
          <cell r="AA101">
            <v>1700018</v>
          </cell>
          <cell r="AB101">
            <v>1</v>
          </cell>
          <cell r="AC101" t="str">
            <v>17X062</v>
          </cell>
          <cell r="AD101" t="str">
            <v>無指定</v>
          </cell>
          <cell r="AE101" t="str">
            <v>報内</v>
          </cell>
          <cell r="AF101" t="str">
            <v>会計課調達室／物品調達班</v>
          </cell>
          <cell r="AG101" t="str">
            <v>宮田</v>
          </cell>
        </row>
        <row r="102">
          <cell r="A102" t="str">
            <v>法53</v>
          </cell>
          <cell r="B102">
            <v>53</v>
          </cell>
          <cell r="C102" t="str">
            <v>ｻﾞｲｾｶｲﾉｳｺﾞｷ</v>
          </cell>
          <cell r="D102">
            <v>53</v>
          </cell>
          <cell r="F102" t="str">
            <v>財団法人　　世界の動き社</v>
          </cell>
          <cell r="H102" t="str">
            <v>平成１７年度　月刊「世界の動き」誌の購入（単価契約）</v>
          </cell>
          <cell r="I102" t="str">
            <v>外務省大臣官房
会計課長
上月豊久
東京都千代田区
霞が関２－２－１</v>
          </cell>
          <cell r="J102" t="str">
            <v>平成17/04/28</v>
          </cell>
          <cell r="K102">
            <v>41415648</v>
          </cell>
          <cell r="L102" t="str">
            <v>出版元である（財）世界の動き社から直接購入するものであり、他に競争を許さない（会計法第２９条の３第４項）。</v>
          </cell>
          <cell r="M102" t="str">
            <v>その他のもの</v>
          </cell>
          <cell r="N102" t="str">
            <v>ー
（随意契約によらざるを得ないもの）</v>
          </cell>
          <cell r="O102" t="str">
            <v>単価契約</v>
          </cell>
          <cell r="P102" t="str">
            <v>所管法×</v>
          </cell>
          <cell r="Q102" t="str">
            <v>法</v>
          </cell>
          <cell r="S102" t="str">
            <v>法1</v>
          </cell>
          <cell r="T102" t="str">
            <v>法1</v>
          </cell>
          <cell r="U102" t="str">
            <v>法</v>
          </cell>
          <cell r="V102" t="str">
            <v>●</v>
          </cell>
          <cell r="AA102">
            <v>1700260</v>
          </cell>
          <cell r="AB102">
            <v>1</v>
          </cell>
          <cell r="AC102" t="str">
            <v>17X051</v>
          </cell>
          <cell r="AD102" t="str">
            <v>無指定</v>
          </cell>
          <cell r="AE102" t="str">
            <v>報内</v>
          </cell>
          <cell r="AF102" t="str">
            <v>会計課調達室／政府調達班</v>
          </cell>
          <cell r="AG102" t="str">
            <v>宮田</v>
          </cell>
        </row>
        <row r="103">
          <cell r="A103" t="str">
            <v>法54</v>
          </cell>
          <cell r="B103">
            <v>54</v>
          </cell>
          <cell r="C103" t="str">
            <v>ｻﾞｲﾀｲﾍｲﾖｳ</v>
          </cell>
          <cell r="D103">
            <v>54</v>
          </cell>
          <cell r="F103" t="str">
            <v>財団法人
太平洋人材交流センター</v>
          </cell>
          <cell r="H103" t="str">
            <v>日本センター巡回講座・訪日研修「ＷＴＯ加盟（欧ロ部）」（企画招請）</v>
          </cell>
          <cell r="I103" t="str">
            <v>外務省大臣官房
会計課長
上月豊久
東京都千代田区
霞が関２－２－１</v>
          </cell>
          <cell r="J103" t="str">
            <v>平成17/06/03</v>
          </cell>
          <cell r="K103">
            <v>15599902</v>
          </cell>
          <cell r="L103"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03" t="str">
            <v>見直しの余地があるもの</v>
          </cell>
          <cell r="N103" t="str">
            <v>一般競争入札等に移行したもの（企画招請実施）</v>
          </cell>
          <cell r="P103" t="str">
            <v>所管法○</v>
          </cell>
          <cell r="Q103" t="str">
            <v>法</v>
          </cell>
          <cell r="R103" t="str">
            <v>○</v>
          </cell>
          <cell r="S103" t="str">
            <v>法18②</v>
          </cell>
          <cell r="T103" t="str">
            <v>法18②</v>
          </cell>
          <cell r="U103" t="str">
            <v>法</v>
          </cell>
          <cell r="W103" t="str">
            <v>②</v>
          </cell>
          <cell r="AA103">
            <v>1700429</v>
          </cell>
          <cell r="AB103">
            <v>1</v>
          </cell>
          <cell r="AC103" t="str">
            <v>17G377</v>
          </cell>
          <cell r="AD103" t="str">
            <v>無指定</v>
          </cell>
          <cell r="AE103" t="str">
            <v>欧支</v>
          </cell>
          <cell r="AF103" t="str">
            <v>会計課調達室／サービス調達第１班</v>
          </cell>
          <cell r="AG103" t="str">
            <v>村松</v>
          </cell>
        </row>
        <row r="104">
          <cell r="A104" t="str">
            <v>法55</v>
          </cell>
          <cell r="B104">
            <v>55</v>
          </cell>
          <cell r="C104" t="str">
            <v>ｻﾞｲﾀｲﾍｲﾖｳ</v>
          </cell>
          <cell r="D104">
            <v>55</v>
          </cell>
          <cell r="F104" t="str">
            <v>財団法人
太平洋人材交流センター</v>
          </cell>
          <cell r="H104" t="str">
            <v>日本センター巡回講座・訪日研修「中小企業経営（欧ロ部）」（企画招請）</v>
          </cell>
          <cell r="I104" t="str">
            <v>外務省大臣官房
会計課長
上月豊久
東京都千代田区
霞が関２－２－１</v>
          </cell>
          <cell r="J104" t="str">
            <v>平成17/06/24</v>
          </cell>
          <cell r="K104">
            <v>15578739</v>
          </cell>
          <cell r="L104"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04" t="str">
            <v>見直しの余地があるもの</v>
          </cell>
          <cell r="N104" t="str">
            <v>一般競争入札等に移行したもの（企画招請実施）</v>
          </cell>
          <cell r="P104" t="str">
            <v>所管法○</v>
          </cell>
          <cell r="Q104" t="str">
            <v>法</v>
          </cell>
          <cell r="R104" t="str">
            <v>○</v>
          </cell>
          <cell r="S104" t="str">
            <v>法18②</v>
          </cell>
          <cell r="T104" t="str">
            <v>法18②</v>
          </cell>
          <cell r="U104" t="str">
            <v>法</v>
          </cell>
          <cell r="W104" t="str">
            <v>②</v>
          </cell>
          <cell r="AA104">
            <v>1700809</v>
          </cell>
          <cell r="AB104">
            <v>1</v>
          </cell>
          <cell r="AC104" t="str">
            <v>17G378</v>
          </cell>
          <cell r="AD104" t="str">
            <v>無指定</v>
          </cell>
          <cell r="AE104" t="str">
            <v>欧支</v>
          </cell>
          <cell r="AF104" t="str">
            <v>会計課調達室／サービス調達第１班</v>
          </cell>
          <cell r="AG104" t="str">
            <v>村松</v>
          </cell>
        </row>
        <row r="105">
          <cell r="A105" t="str">
            <v>法56</v>
          </cell>
          <cell r="B105">
            <v>56</v>
          </cell>
          <cell r="C105" t="str">
            <v>ｻﾞｲﾁｭｳﾄｳﾁｮｳｻ</v>
          </cell>
          <cell r="D105">
            <v>56</v>
          </cell>
          <cell r="F105" t="str">
            <v>財団法人
中東調査会</v>
          </cell>
          <cell r="H105" t="str">
            <v>テロ組織・テロリスト等に関する委嘱調査（※４件）</v>
          </cell>
          <cell r="I105" t="str">
            <v>外務省大臣官房
会計課長
上月豊久
東京都千代田区
霞が関２－２－１</v>
          </cell>
          <cell r="J105" t="str">
            <v>平成17/04/07</v>
          </cell>
          <cell r="K105">
            <v>16525000</v>
          </cell>
          <cell r="L105" t="str">
            <v>我が国がどの様な国のどの様なテロ組織に関心を有しているかを対外的に明らかにすることは、これにより、テロ組織と名指しされた組織が我が国を攻撃のターゲットとするおそれがあり、安全保障・邦人保護等の観点から好ましくなく、企画招請や競争入札に馴染まないことから、中東関連情報の蓄積があり情報収集・分析する上で高度な専門性・能力を有する中東調査会に随意契約するものである（会計法第２９条の３第４項）。</v>
          </cell>
          <cell r="M105" t="str">
            <v>その他のもの</v>
          </cell>
          <cell r="N105" t="str">
            <v>ー
（随意契約によらざるを得ないもの）</v>
          </cell>
          <cell r="O105" t="str">
            <v>全4件</v>
          </cell>
          <cell r="P105" t="str">
            <v>所管法×</v>
          </cell>
          <cell r="Q105" t="str">
            <v>法</v>
          </cell>
          <cell r="R105">
            <v>4</v>
          </cell>
          <cell r="S105" t="str">
            <v>法1</v>
          </cell>
          <cell r="T105" t="str">
            <v>法1</v>
          </cell>
          <cell r="U105" t="str">
            <v>法</v>
          </cell>
          <cell r="V105" t="str">
            <v>●</v>
          </cell>
          <cell r="AA105">
            <v>1700645</v>
          </cell>
          <cell r="AB105">
            <v>1</v>
          </cell>
          <cell r="AC105" t="str">
            <v>17G169</v>
          </cell>
          <cell r="AD105" t="str">
            <v>無指定</v>
          </cell>
          <cell r="AE105" t="str">
            <v>情報１</v>
          </cell>
          <cell r="AF105" t="str">
            <v>会計課調達室／サービス調達第１班</v>
          </cell>
          <cell r="AG105" t="str">
            <v>竹澤</v>
          </cell>
        </row>
        <row r="106">
          <cell r="A106" t="str">
            <v>法60</v>
          </cell>
          <cell r="B106">
            <v>60</v>
          </cell>
          <cell r="C106" t="str">
            <v>ｻﾞｲﾁｭｳﾄｳﾁｮｳｻ</v>
          </cell>
          <cell r="D106">
            <v>60</v>
          </cell>
          <cell r="F106" t="str">
            <v>財団法人　
中東調査会</v>
          </cell>
          <cell r="H106" t="str">
            <v>「イスラム世界との文明間対話」ホームページの運営・管理</v>
          </cell>
          <cell r="I106" t="str">
            <v>外務省大臣官房
会計課長
上月豊久
東京都千代田区
霞が関２－２－１</v>
          </cell>
          <cell r="J106" t="str">
            <v>平成17/04/18</v>
          </cell>
          <cell r="K106">
            <v>4735500</v>
          </cell>
          <cell r="L106" t="str">
            <v>本件業務は、中東地域を中心とするイスラム世界への理解を深めるためにホームページを開設し、一般の国民に対する広報・情報提供を行うと共に、インターネットを通じた有識者間の対話の場を設定するものであり、利用者の利便性に鑑み、現行のホームページを活用すると共に、コンテンツも一貫したものであることが必要であり、当該財団と契約する以外の選択肢がない（会計法第２９条の３第４項）。</v>
          </cell>
          <cell r="M106" t="str">
            <v>見直しの余地があるもの</v>
          </cell>
          <cell r="N106" t="str">
            <v>一般競争入札等に移行するための準備に時間を要するもの（１９年度以降において公募実施）</v>
          </cell>
          <cell r="P106" t="str">
            <v>所管法×</v>
          </cell>
          <cell r="Q106" t="str">
            <v>法</v>
          </cell>
          <cell r="S106" t="str">
            <v>法19②</v>
          </cell>
          <cell r="T106" t="str">
            <v>法19②</v>
          </cell>
          <cell r="U106" t="str">
            <v>法</v>
          </cell>
          <cell r="X106" t="str">
            <v>②</v>
          </cell>
          <cell r="AA106">
            <v>1700651</v>
          </cell>
          <cell r="AB106">
            <v>1</v>
          </cell>
          <cell r="AC106" t="str">
            <v>17G234</v>
          </cell>
          <cell r="AD106" t="str">
            <v>無指定</v>
          </cell>
          <cell r="AE106" t="str">
            <v>中東２</v>
          </cell>
          <cell r="AF106" t="str">
            <v>会計課調達室／サービス調達第１班</v>
          </cell>
          <cell r="AG106" t="str">
            <v>竹澤</v>
          </cell>
        </row>
        <row r="107">
          <cell r="A107" t="str">
            <v>法61</v>
          </cell>
          <cell r="B107">
            <v>61</v>
          </cell>
          <cell r="C107" t="str">
            <v>ｻﾞｲﾁｭｳﾄｳﾁｮｳｻ</v>
          </cell>
          <cell r="D107">
            <v>61</v>
          </cell>
          <cell r="F107" t="str">
            <v>財団法人　　　中東調査会</v>
          </cell>
          <cell r="H107" t="str">
            <v>中東要人に関するデータベース情報の提供</v>
          </cell>
          <cell r="I107" t="str">
            <v>外務省大臣官房
会計課長
上月豊久
東京都千代田区
霞が関２－２－１</v>
          </cell>
          <cell r="J107" t="str">
            <v>平成17/04/20</v>
          </cell>
          <cell r="K107">
            <v>2904000</v>
          </cell>
          <cell r="L107" t="str">
            <v>現在、同法人には、過去２０年以上に及ぶ１４，０００件以上の中東要人データが蓄積されており、右更新作業を継続的に実施している。右データは、同法人が著作権を有するもので、我が国の外交上不可欠な唯一無二のものであることから、代替性がない（会計法第２９条の３第４項）。</v>
          </cell>
          <cell r="M107" t="str">
            <v>その他のもの</v>
          </cell>
          <cell r="N107" t="str">
            <v>ー
（随意契約によらざるを得ないもの）</v>
          </cell>
          <cell r="P107" t="str">
            <v>所管法×</v>
          </cell>
          <cell r="Q107" t="str">
            <v>法</v>
          </cell>
          <cell r="S107" t="str">
            <v>法1</v>
          </cell>
          <cell r="T107" t="str">
            <v>法1</v>
          </cell>
          <cell r="U107" t="str">
            <v>法</v>
          </cell>
          <cell r="V107" t="str">
            <v>●</v>
          </cell>
          <cell r="AA107">
            <v>1700652</v>
          </cell>
          <cell r="AB107">
            <v>1</v>
          </cell>
          <cell r="AC107" t="str">
            <v>17W162</v>
          </cell>
          <cell r="AD107" t="str">
            <v>無指定</v>
          </cell>
          <cell r="AE107" t="str">
            <v>情報４</v>
          </cell>
          <cell r="AF107" t="str">
            <v>会計課調達室／サービス調達第１班</v>
          </cell>
          <cell r="AG107" t="str">
            <v>竹澤</v>
          </cell>
        </row>
        <row r="108">
          <cell r="A108" t="str">
            <v>法62</v>
          </cell>
          <cell r="B108">
            <v>62</v>
          </cell>
          <cell r="C108" t="str">
            <v>ｻﾞｲﾁｭｳﾄｳﾁｮｳｻ</v>
          </cell>
          <cell r="D108">
            <v>62</v>
          </cell>
          <cell r="F108" t="str">
            <v>財団法人　
中東調査会</v>
          </cell>
          <cell r="H108" t="str">
            <v>スーダン共和国における社会構造と政治権力に係る依嘱調査</v>
          </cell>
          <cell r="I108" t="str">
            <v>外務省大臣官房
会計課長
上月豊久
東京都千代田区
霞が関２－２－１</v>
          </cell>
          <cell r="J108" t="str">
            <v>平成17/07/01</v>
          </cell>
          <cell r="K108">
            <v>3962200</v>
          </cell>
          <cell r="L108" t="str">
            <v>スーダン研究は、我が国においてあまり行われていないこともあり、研究者を見出すために中東調査会のネットワークを利用することが不可欠であり、同調査会以外には不可能（会計法第２９条の３第４項）。</v>
          </cell>
          <cell r="M108" t="str">
            <v>見直しの余地があるもの</v>
          </cell>
          <cell r="N108" t="str">
            <v>１８年度において当該事務・事業の委託等を行う予定なし</v>
          </cell>
          <cell r="P108" t="str">
            <v>所管法×</v>
          </cell>
          <cell r="Q108" t="str">
            <v>法</v>
          </cell>
          <cell r="S108" t="str">
            <v>法18×</v>
          </cell>
          <cell r="T108" t="str">
            <v>法18×</v>
          </cell>
          <cell r="U108" t="str">
            <v>法</v>
          </cell>
          <cell r="W108" t="str">
            <v>×</v>
          </cell>
          <cell r="AA108">
            <v>1700886</v>
          </cell>
          <cell r="AB108">
            <v>1</v>
          </cell>
          <cell r="AC108" t="str">
            <v>17G437</v>
          </cell>
          <cell r="AD108" t="str">
            <v>無指定</v>
          </cell>
          <cell r="AE108" t="str">
            <v>情報４</v>
          </cell>
          <cell r="AF108" t="str">
            <v>会計課調達室／サービス調達第１班</v>
          </cell>
          <cell r="AG108" t="str">
            <v>竹澤</v>
          </cell>
        </row>
        <row r="109">
          <cell r="A109" t="str">
            <v>法63</v>
          </cell>
          <cell r="B109">
            <v>63</v>
          </cell>
          <cell r="C109" t="str">
            <v>ｻﾞｲﾁｭｳﾄｳﾁｮｳｻ</v>
          </cell>
          <cell r="D109">
            <v>63</v>
          </cell>
          <cell r="F109" t="str">
            <v>財団法人　中東調査会</v>
          </cell>
          <cell r="H109" t="str">
            <v>日本のパレスチナ支援に関する現地世論調査</v>
          </cell>
          <cell r="I109" t="str">
            <v>外務省大臣官房
会計課長
上月豊久
東京都千代田区
霞が関２－２－１</v>
          </cell>
          <cell r="J109" t="str">
            <v>平成18/02/13</v>
          </cell>
          <cell r="K109">
            <v>1515800</v>
          </cell>
          <cell r="L109" t="str">
            <v>本件はパレスチナ自治区ラマッラにあるパレスチナ政策分析センターとの連携があり、ガザ撤退やＰＬＣ選挙といった情勢を踏まえて現地の認識・ニーズについてのデータを収集し、分析結果を調査報告するというもの。パレスチナ側と連携し、迅速かつ適切な報告をすることが可能な唯一の機関である者と随意契約をした（会計法２９条の３第４項）。</v>
          </cell>
          <cell r="M109" t="str">
            <v>見直しの余地があるもの</v>
          </cell>
          <cell r="N109" t="str">
            <v>１８年度において当該事務・事業の委託等を行う予定なし</v>
          </cell>
          <cell r="P109" t="str">
            <v>所管法×</v>
          </cell>
          <cell r="Q109" t="str">
            <v>法</v>
          </cell>
          <cell r="S109" t="str">
            <v>法18×</v>
          </cell>
          <cell r="T109" t="str">
            <v>法18×</v>
          </cell>
          <cell r="U109" t="str">
            <v>法</v>
          </cell>
          <cell r="W109" t="str">
            <v>×</v>
          </cell>
          <cell r="AA109">
            <v>1701554</v>
          </cell>
          <cell r="AB109">
            <v>1</v>
          </cell>
          <cell r="AC109" t="str">
            <v>17H105</v>
          </cell>
          <cell r="AD109" t="str">
            <v>取扱注意</v>
          </cell>
          <cell r="AE109" t="str">
            <v>中東１</v>
          </cell>
          <cell r="AF109" t="str">
            <v>会計課調達室／サービス調達第１班</v>
          </cell>
          <cell r="AG109" t="str">
            <v>村松</v>
          </cell>
        </row>
        <row r="110">
          <cell r="A110" t="str">
            <v>法64</v>
          </cell>
          <cell r="B110">
            <v>64</v>
          </cell>
          <cell r="C110" t="str">
            <v>ｻﾞｲﾆﾁｲﾝ</v>
          </cell>
          <cell r="D110">
            <v>64</v>
          </cell>
          <cell r="F110" t="str">
            <v>財団法人　
日印協会</v>
          </cell>
          <cell r="H110" t="str">
            <v>インド政治、安全保障、経済・社会情勢及び日印間の諸問題に関する調査研究</v>
          </cell>
          <cell r="I110" t="str">
            <v>外務省大臣官房
会計課長
上月豊久
東京都千代田区
霞が関２－２－１</v>
          </cell>
          <cell r="J110" t="str">
            <v>平成17/04/11</v>
          </cell>
          <cell r="K110">
            <v>2001478</v>
          </cell>
          <cell r="L110" t="str">
            <v>報告書はインド経済、外交、内政の各分野にわたり重要なテーマをピックアップし、正確かつ包括的な報告を行うと共に背景や今後の展開等につき分析を加えている。これは執筆陣のインド研究者としての知識、経験、情報収集能力等がなければ困難。１００年の歴史を持ち、人脈も豊富な日印協会以外では、執筆陣として様々な大学、研究機関等から優秀なインド研究者を集めることは困難（会計法第２９条の３第４項）。</v>
          </cell>
          <cell r="M110" t="str">
            <v>見直しの余地があるもの</v>
          </cell>
          <cell r="N110" t="str">
            <v>一般競争入札等に移行したもの（企画招請実施）</v>
          </cell>
          <cell r="P110" t="str">
            <v>所管法×</v>
          </cell>
          <cell r="Q110" t="str">
            <v>法</v>
          </cell>
          <cell r="S110" t="str">
            <v>法18②</v>
          </cell>
          <cell r="T110" t="str">
            <v>法18②</v>
          </cell>
          <cell r="U110" t="str">
            <v>法</v>
          </cell>
          <cell r="W110" t="str">
            <v>②</v>
          </cell>
          <cell r="AA110">
            <v>1700576</v>
          </cell>
          <cell r="AB110">
            <v>1</v>
          </cell>
          <cell r="AC110" t="str">
            <v>17G184</v>
          </cell>
          <cell r="AD110" t="str">
            <v>無指定</v>
          </cell>
          <cell r="AE110" t="str">
            <v>亜西</v>
          </cell>
          <cell r="AF110" t="str">
            <v>会計課調達室／サービス調達第１班</v>
          </cell>
          <cell r="AG110" t="str">
            <v>竹澤</v>
          </cell>
        </row>
        <row r="111">
          <cell r="A111" t="str">
            <v>法65</v>
          </cell>
          <cell r="B111">
            <v>65</v>
          </cell>
          <cell r="C111" t="str">
            <v>ｻﾞｲﾆﾎﾝｺｸｻｲﾌｫｰﾗﾑ</v>
          </cell>
          <cell r="D111">
            <v>65</v>
          </cell>
          <cell r="F111" t="str">
            <v>財団法人
日本国際フォーラム</v>
          </cell>
          <cell r="H111" t="str">
            <v>東アジア・シンクタンク・ネットワーク（ＮＥＡＴ）ワーキング・グループ（「東アジア協力の全体構造」）会合の開催</v>
          </cell>
          <cell r="I111" t="str">
            <v>外務省大臣官房
会計課長
上月豊久
東京都千代田区
霞が関２－２－１</v>
          </cell>
          <cell r="J111" t="str">
            <v>平成17/04/18</v>
          </cell>
          <cell r="K111">
            <v>4985529</v>
          </cell>
          <cell r="L111" t="str">
            <v>東アジア・シンクタンク・ネットワーク（ＮＥＡＴ）は、ＡＳＥＡＮ＋３首脳会議での合意に基づき設置され、本構想に関する合意文書の中で、ＡＳＥＡＮ＋３各国政府がＮＥＡＴのカントリー・コーディネーターとなるシンクタンクをそれぞれ指定することとなっており、我が国においては、本財団が指定されていることから、本財団に対して随意契約を行ったもの（会計法第２９条の３第４項）。</v>
          </cell>
          <cell r="M111" t="str">
            <v>その他のもの</v>
          </cell>
          <cell r="N111" t="str">
            <v>ー
（随意契約によらざるを得ないもの）</v>
          </cell>
          <cell r="P111" t="str">
            <v>所管法×</v>
          </cell>
          <cell r="Q111" t="str">
            <v>法</v>
          </cell>
          <cell r="S111" t="str">
            <v>法1</v>
          </cell>
          <cell r="T111" t="str">
            <v>法1</v>
          </cell>
          <cell r="U111" t="str">
            <v>法</v>
          </cell>
          <cell r="V111" t="str">
            <v>●</v>
          </cell>
          <cell r="AA111">
            <v>1700617</v>
          </cell>
          <cell r="AB111">
            <v>1</v>
          </cell>
          <cell r="AC111" t="str">
            <v>17G245</v>
          </cell>
          <cell r="AD111" t="str">
            <v>無指定</v>
          </cell>
          <cell r="AE111" t="str">
            <v>亜地政</v>
          </cell>
          <cell r="AF111" t="str">
            <v>会計課調達室／サービス調達第２班</v>
          </cell>
          <cell r="AG111" t="str">
            <v>高出</v>
          </cell>
          <cell r="AI111" t="str">
            <v>国際的取り決めによるもの</v>
          </cell>
          <cell r="AJ111" t="str">
            <v>イ（ロ）</v>
          </cell>
        </row>
        <row r="112">
          <cell r="A112" t="str">
            <v>法66</v>
          </cell>
          <cell r="B112">
            <v>66</v>
          </cell>
          <cell r="C112" t="str">
            <v>ｻﾞｲﾆﾎﾝｺｸｻｲﾌｫｰﾗﾑ</v>
          </cell>
          <cell r="D112">
            <v>66</v>
          </cell>
          <cell r="F112" t="str">
            <v>財団法人
日本国際フォーラム</v>
          </cell>
          <cell r="H112" t="str">
            <v>エネルギー分野の協力に関する調査業務委嘱（企画招請）</v>
          </cell>
          <cell r="I112" t="str">
            <v>外務省大臣官房
会計課長
上月豊久
東京都千代田区
霞が関２－２－１</v>
          </cell>
          <cell r="J112" t="str">
            <v>平成17/10/17</v>
          </cell>
          <cell r="K112">
            <v>8896432</v>
          </cell>
          <cell r="L112"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12" t="str">
            <v>見直しの余地があるもの</v>
          </cell>
          <cell r="N112" t="str">
            <v>１８年度において当該事務・事業の委託等を行う予定なし</v>
          </cell>
          <cell r="P112" t="str">
            <v>所管法○</v>
          </cell>
          <cell r="Q112" t="str">
            <v>法</v>
          </cell>
          <cell r="R112" t="str">
            <v>○</v>
          </cell>
          <cell r="S112" t="str">
            <v>法18×</v>
          </cell>
          <cell r="T112" t="str">
            <v>法18×</v>
          </cell>
          <cell r="U112" t="str">
            <v>法</v>
          </cell>
          <cell r="W112" t="str">
            <v>×</v>
          </cell>
          <cell r="AA112">
            <v>1701607</v>
          </cell>
          <cell r="AB112">
            <v>1</v>
          </cell>
          <cell r="AC112" t="str">
            <v>17H076</v>
          </cell>
          <cell r="AD112" t="str">
            <v>無指定</v>
          </cell>
          <cell r="AE112" t="str">
            <v>経協計</v>
          </cell>
          <cell r="AF112" t="str">
            <v>会計課調達室／サービス調達第１班</v>
          </cell>
          <cell r="AG112" t="str">
            <v>村松</v>
          </cell>
        </row>
        <row r="113">
          <cell r="A113" t="str">
            <v>法67</v>
          </cell>
          <cell r="B113">
            <v>67</v>
          </cell>
          <cell r="C113" t="str">
            <v>ｻﾞｲﾆﾎﾝｺｸｻｲｷｮｳﾘｮｸｼｽ</v>
          </cell>
          <cell r="D113">
            <v>67</v>
          </cell>
          <cell r="F113" t="str">
            <v>財団法人　　日本国際協力システム</v>
          </cell>
          <cell r="H113" t="str">
            <v>平成１８、１９年度一般文化無償資金協力候補案件及び平成１７年度草の根文化無償資金協力候補案件にかかる事前調査（企画招請）</v>
          </cell>
          <cell r="I113" t="str">
            <v>外務省大臣官房
会計課長
上月豊久
東京都千代田区
霞が関２－２－１</v>
          </cell>
          <cell r="J113" t="str">
            <v>平成17/07/06</v>
          </cell>
          <cell r="K113">
            <v>130998259</v>
          </cell>
          <cell r="L113"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13" t="str">
            <v>見直しの余地があるもの</v>
          </cell>
          <cell r="N113" t="str">
            <v>一般競争入札等に移行したもの（企画招請実施）</v>
          </cell>
          <cell r="P113" t="str">
            <v>所管法○</v>
          </cell>
          <cell r="Q113" t="str">
            <v>法</v>
          </cell>
          <cell r="R113" t="str">
            <v>○</v>
          </cell>
          <cell r="S113" t="str">
            <v>法18②</v>
          </cell>
          <cell r="T113" t="str">
            <v>法18②</v>
          </cell>
          <cell r="U113" t="str">
            <v>法</v>
          </cell>
          <cell r="W113" t="str">
            <v>②</v>
          </cell>
          <cell r="AA113">
            <v>1700873</v>
          </cell>
          <cell r="AB113">
            <v>1</v>
          </cell>
          <cell r="AC113" t="str">
            <v>17G427</v>
          </cell>
          <cell r="AD113" t="str">
            <v>取扱注意</v>
          </cell>
          <cell r="AE113" t="str">
            <v>広文交</v>
          </cell>
          <cell r="AF113" t="str">
            <v>会計課調達室／サービス調達第１班</v>
          </cell>
          <cell r="AG113" t="str">
            <v>村松</v>
          </cell>
        </row>
        <row r="114">
          <cell r="A114" t="str">
            <v>法68</v>
          </cell>
          <cell r="B114">
            <v>68</v>
          </cell>
          <cell r="C114" t="str">
            <v>ｻﾞｲﾆﾎﾝｺｸｻｲｷｮｳﾘｮｸｼｽ</v>
          </cell>
          <cell r="D114">
            <v>68</v>
          </cell>
          <cell r="F114" t="str">
            <v>財団法人　　日本国際協力システム</v>
          </cell>
          <cell r="H114" t="str">
            <v>文化無償協力フォローアップ事業に係る業務委嘱</v>
          </cell>
          <cell r="I114" t="str">
            <v>外務省大臣官房
会計課長
上月豊久
東京都千代田区
霞が関２－２－１</v>
          </cell>
          <cell r="J114" t="str">
            <v>平成18/01/25</v>
          </cell>
          <cell r="K114">
            <v>9417072</v>
          </cell>
          <cell r="L114" t="str">
            <v>本件は過去に実施した文化無償資金協力案件について、機材等の点検・保守・修理を行わせるものであり、対象案件を企画招請により実施した当該財団は個々の事業に関するデータを網羅的に有している唯一の者であり、事業を効果的・効率的に実施するには当該財団と契約することが不可欠（会計法第２９条の３第４項）。</v>
          </cell>
          <cell r="M114" t="str">
            <v>見直しの余地があるもの</v>
          </cell>
          <cell r="N114" t="str">
            <v>一般競争入札等に移行するための準備に時間を要するもの（１９年度以降において企画招請実施）</v>
          </cell>
          <cell r="P114" t="str">
            <v>所管法×</v>
          </cell>
          <cell r="Q114" t="str">
            <v>法</v>
          </cell>
          <cell r="S114" t="str">
            <v>法19②</v>
          </cell>
          <cell r="T114" t="str">
            <v>法19②</v>
          </cell>
          <cell r="U114" t="str">
            <v>法</v>
          </cell>
          <cell r="X114" t="str">
            <v>②</v>
          </cell>
          <cell r="AA114">
            <v>1701469</v>
          </cell>
          <cell r="AB114">
            <v>1</v>
          </cell>
          <cell r="AC114" t="str">
            <v>17H053</v>
          </cell>
          <cell r="AD114" t="str">
            <v>無指定</v>
          </cell>
          <cell r="AE114" t="str">
            <v>広文交</v>
          </cell>
          <cell r="AF114" t="str">
            <v>会計課調達室／サービス調達第１班</v>
          </cell>
          <cell r="AG114" t="str">
            <v>村松</v>
          </cell>
        </row>
        <row r="115">
          <cell r="A115" t="str">
            <v>法69</v>
          </cell>
          <cell r="B115">
            <v>69</v>
          </cell>
          <cell r="C115" t="str">
            <v>ｻﾞｲﾆﾎﾝｺｸｻｲｺｳﾘｭｳ</v>
          </cell>
          <cell r="D115">
            <v>69</v>
          </cell>
          <cell r="F115" t="str">
            <v>財団法人
日本国際交流センター</v>
          </cell>
          <cell r="H115" t="str">
            <v>北東アジア協力対話</v>
          </cell>
          <cell r="I115" t="str">
            <v>外務省大臣官房
会計課長
上月豊久
東京都千代田区
霞が関２－２－１</v>
          </cell>
          <cell r="J115" t="str">
            <v>平成17/04/01</v>
          </cell>
          <cell r="K115">
            <v>4731458</v>
          </cell>
          <cell r="L115" t="str">
            <v>本件委嘱者には、主催者や関係者との連絡調整能力や会議運営能力のみならず、国際問題や外交問題の研究実績があり、政府と緊密な協力関係にあって信頼できる研究機関であることが求められる。このような日本側窓口研究機関の条件を満たしうる機関は国内に限られている（会計法第２９条の３第４項）。</v>
          </cell>
          <cell r="M115" t="str">
            <v>見直しの余地があるもの</v>
          </cell>
          <cell r="N115" t="str">
            <v>一般競争入札等に移行するための準備に時間を要するもの（１９年度以降において公募実施、但し関係国の同意が必要）</v>
          </cell>
          <cell r="P115" t="str">
            <v>所管法×</v>
          </cell>
          <cell r="Q115" t="str">
            <v>法</v>
          </cell>
          <cell r="S115" t="str">
            <v>法19②</v>
          </cell>
          <cell r="T115" t="str">
            <v>法19②</v>
          </cell>
          <cell r="U115" t="str">
            <v>法</v>
          </cell>
          <cell r="X115" t="str">
            <v>②</v>
          </cell>
          <cell r="AA115">
            <v>1700648</v>
          </cell>
          <cell r="AB115">
            <v>1</v>
          </cell>
          <cell r="AC115" t="str">
            <v>17G141</v>
          </cell>
          <cell r="AD115" t="str">
            <v>無指定</v>
          </cell>
          <cell r="AE115" t="str">
            <v>総安</v>
          </cell>
          <cell r="AF115" t="str">
            <v>会計課調達室／サービス調達第１班</v>
          </cell>
          <cell r="AG115" t="str">
            <v>竹澤</v>
          </cell>
        </row>
        <row r="116">
          <cell r="A116" t="str">
            <v>法70</v>
          </cell>
          <cell r="B116">
            <v>70</v>
          </cell>
          <cell r="C116" t="str">
            <v>ｻﾞｲﾆﾎﾝｺｸｻｲｺｳﾘｭｳｾﾝﾀｰ</v>
          </cell>
          <cell r="D116">
            <v>70</v>
          </cell>
          <cell r="F116" t="str">
            <v>財団法人
日本国際交流センター</v>
          </cell>
          <cell r="H116" t="str">
            <v>ＡＳＥＭの１０年に関する共同報告書作成に係る業務</v>
          </cell>
          <cell r="I116" t="str">
            <v>外務省大臣官房
会計課長
上月豊久
東京都千代田区
霞が関２－２－１</v>
          </cell>
          <cell r="J116" t="str">
            <v>平成17/06/15</v>
          </cell>
          <cell r="K116">
            <v>3398200</v>
          </cell>
          <cell r="L116" t="str">
            <v>当財団は、ＡＳＥＭ第１回首脳会合の際、アジア欧州協力協議会の運営を行い、ＡＳＥＭ及びアジア・欧州関係に関する検証、提言を行ったことをはじめとして、ＡＳＥＭについて継続的に強い関心を持ち研究を行ってきた団体として他に類を見ない高い実績を有しており、参加各国・機関の有識者とのネットワークを既に構築してきていることから、他者との競争の余地がない（会計法第２９条の３第４項）。</v>
          </cell>
          <cell r="M116" t="str">
            <v>見直しの余地があるもの</v>
          </cell>
          <cell r="N116" t="str">
            <v>１８年度において当該事務・事業の委託等を行う予定なし</v>
          </cell>
          <cell r="P116" t="str">
            <v>所管法×</v>
          </cell>
          <cell r="Q116" t="str">
            <v>法</v>
          </cell>
          <cell r="S116" t="str">
            <v>法18×</v>
          </cell>
          <cell r="T116" t="str">
            <v>法18×</v>
          </cell>
          <cell r="U116" t="str">
            <v>法</v>
          </cell>
          <cell r="W116" t="str">
            <v>×</v>
          </cell>
          <cell r="AA116">
            <v>1700829</v>
          </cell>
          <cell r="AB116">
            <v>1</v>
          </cell>
          <cell r="AC116" t="str">
            <v>17G419</v>
          </cell>
          <cell r="AD116" t="str">
            <v>無指定</v>
          </cell>
          <cell r="AE116" t="str">
            <v>経欧ア</v>
          </cell>
          <cell r="AF116" t="str">
            <v>会計課調達室／サービス調達第２班</v>
          </cell>
          <cell r="AG116" t="str">
            <v>高出</v>
          </cell>
        </row>
        <row r="117">
          <cell r="A117" t="str">
            <v>法71</v>
          </cell>
          <cell r="B117">
            <v>71</v>
          </cell>
          <cell r="C117" t="str">
            <v>ｻﾞｲﾆﾎﾝｺｸｻｲｺｳﾘｭｳ</v>
          </cell>
          <cell r="D117">
            <v>71</v>
          </cell>
          <cell r="F117" t="str">
            <v>財団法人　　日本国際交流センター</v>
          </cell>
          <cell r="H117" t="str">
            <v>「日韓フォーラム」（第１３回）開催にかかる事務局業務</v>
          </cell>
          <cell r="I117" t="str">
            <v>外務省大臣官房
会計課長
上月豊久
東京都千代田区
霞が関２－２－１</v>
          </cell>
          <cell r="J117" t="str">
            <v>平成17/06/20</v>
          </cell>
          <cell r="K117">
            <v>8212555</v>
          </cell>
          <cell r="L117" t="str">
            <v>本フォーラムは、当該財団と韓国側代表機関との合意により、民間主導で進められてきた枠組みである。その後、本フォーラムの意義を評価した日韓両国首脳により、政府として本フォーラムを支持していくことを共同声明等において合意・発表しており、当該財団に委嘱する以外に選択の余地がない（会計法第２９条の３第４項）。</v>
          </cell>
          <cell r="M117" t="str">
            <v>その他のもの</v>
          </cell>
          <cell r="N117" t="str">
            <v>ー
（随意契約によらざるを得ないもの）</v>
          </cell>
          <cell r="P117" t="str">
            <v>所管法×</v>
          </cell>
          <cell r="Q117" t="str">
            <v>法</v>
          </cell>
          <cell r="S117" t="str">
            <v>法1</v>
          </cell>
          <cell r="T117" t="str">
            <v>法1</v>
          </cell>
          <cell r="U117" t="str">
            <v>法</v>
          </cell>
          <cell r="V117" t="str">
            <v>●</v>
          </cell>
          <cell r="AA117">
            <v>1700828</v>
          </cell>
          <cell r="AB117">
            <v>1</v>
          </cell>
          <cell r="AC117" t="str">
            <v>17G432</v>
          </cell>
          <cell r="AD117" t="str">
            <v>無指定</v>
          </cell>
          <cell r="AE117" t="str">
            <v>亜北</v>
          </cell>
          <cell r="AF117" t="str">
            <v>会計課調達室／サービス調達第２班</v>
          </cell>
          <cell r="AG117" t="str">
            <v>高出</v>
          </cell>
          <cell r="AI117" t="str">
            <v>行政目的を達成するために不可欠な業務を提供することが可能な者から提供を受けるもの</v>
          </cell>
          <cell r="AJ117" t="str">
            <v>ニ（へ）に準ずる</v>
          </cell>
        </row>
        <row r="118">
          <cell r="A118" t="str">
            <v>法72</v>
          </cell>
          <cell r="B118">
            <v>72</v>
          </cell>
          <cell r="C118" t="str">
            <v>ｻﾞｲﾆﾎﾝｺｸｻｲｺｳﾘｭｳ</v>
          </cell>
          <cell r="D118">
            <v>72</v>
          </cell>
          <cell r="F118" t="str">
            <v>財団法人　　日本国際交流センター</v>
          </cell>
          <cell r="H118" t="str">
            <v>シンポジウム「三大感染症に対する東アジアの地域的対応」に出席する有識者等の招聘業務委嘱</v>
          </cell>
          <cell r="I118" t="str">
            <v>外務省大臣官房
会計課長
上月豊久
東京都千代田区
霞が関２－２－１</v>
          </cell>
          <cell r="J118" t="str">
            <v>平成17/06/24</v>
          </cell>
          <cell r="K118">
            <v>2542540</v>
          </cell>
          <cell r="L118" t="str">
            <v>当該財団は本件シンポジウムの共催者であり、シンポジウム開催の事前準備、会議の議題、発表する論文のテーマについての各出席者との協議を同財団にて一元的に統括して行うことが効率的で、同財団以外の事業者が介在することで事業が複雑化し、シンポジウムが期待する目的を達成することが困難となる（会計法第２９条の３第４項）。</v>
          </cell>
          <cell r="M118" t="str">
            <v>見直しの余地があるもの</v>
          </cell>
          <cell r="N118" t="str">
            <v>一般競争入札等に移行したもの（企画招請実施）</v>
          </cell>
          <cell r="P118" t="str">
            <v>所管法×</v>
          </cell>
          <cell r="Q118" t="str">
            <v>法</v>
          </cell>
          <cell r="S118" t="str">
            <v>法18②</v>
          </cell>
          <cell r="T118" t="str">
            <v>法18②</v>
          </cell>
          <cell r="U118" t="str">
            <v>法</v>
          </cell>
          <cell r="W118" t="str">
            <v>②</v>
          </cell>
          <cell r="AA118">
            <v>1700831</v>
          </cell>
          <cell r="AB118">
            <v>1</v>
          </cell>
          <cell r="AC118" t="str">
            <v>17F060</v>
          </cell>
          <cell r="AD118" t="str">
            <v>無指定</v>
          </cell>
          <cell r="AE118" t="str">
            <v>国専</v>
          </cell>
          <cell r="AF118" t="str">
            <v>会計課調達室／サービス調達第２班</v>
          </cell>
          <cell r="AG118" t="str">
            <v>高出</v>
          </cell>
        </row>
        <row r="119">
          <cell r="A119" t="str">
            <v>法73</v>
          </cell>
          <cell r="B119">
            <v>73</v>
          </cell>
          <cell r="C119" t="str">
            <v>ｻﾞｲﾆﾎﾝｺｸｻｲｺｳﾘｭｳ</v>
          </cell>
          <cell r="D119">
            <v>73</v>
          </cell>
          <cell r="F119" t="str">
            <v>財団法人　　日本国際交流センター</v>
          </cell>
          <cell r="H119" t="str">
            <v>日英２１世紀委員会第２２回合同会議開催業務委嘱</v>
          </cell>
          <cell r="I119" t="str">
            <v>外務省大臣官房
会計課長
上月豊久
東京都千代田区
霞が関２－２－１</v>
          </cell>
          <cell r="J119" t="str">
            <v>平成17/10/31</v>
          </cell>
          <cell r="K119">
            <v>3194664</v>
          </cell>
          <cell r="L119" t="str">
            <v>日英２１世紀委員会は、１９８５年１月同センターに同委員会事務局を設置し、同委員会を発足させて以来、過去２１回の会議運営を実施してきており、本委員会を通じた日英間の協力は同事務局の存在を前提としており、他団体への委嘱は不可能（会計法第２９条の３第４項）。</v>
          </cell>
          <cell r="M119" t="str">
            <v>見直しの余地があるもの</v>
          </cell>
          <cell r="N119" t="str">
            <v>一般競争入札等に移行するための準備に時間を要するもの（１９年度以降において公募実施、但し関係国の同意が必要）</v>
          </cell>
          <cell r="P119" t="str">
            <v>所管法×</v>
          </cell>
          <cell r="Q119" t="str">
            <v>法</v>
          </cell>
          <cell r="S119" t="str">
            <v>法19②</v>
          </cell>
          <cell r="T119" t="str">
            <v>法19②</v>
          </cell>
          <cell r="U119" t="str">
            <v>法</v>
          </cell>
          <cell r="X119" t="str">
            <v>②</v>
          </cell>
          <cell r="AA119">
            <v>1701224</v>
          </cell>
          <cell r="AB119">
            <v>1</v>
          </cell>
          <cell r="AC119" t="str">
            <v>17G840</v>
          </cell>
          <cell r="AD119" t="str">
            <v>無指定</v>
          </cell>
          <cell r="AE119" t="str">
            <v>欧西欧</v>
          </cell>
          <cell r="AF119" t="str">
            <v>会計課調達室／サービス調達第２班</v>
          </cell>
          <cell r="AG119" t="str">
            <v>荒井</v>
          </cell>
        </row>
        <row r="120">
          <cell r="A120" t="str">
            <v>法74</v>
          </cell>
          <cell r="B120">
            <v>74</v>
          </cell>
          <cell r="C120" t="str">
            <v>ｻﾞｲﾆﾎﾝｺｸｻｲﾓﾝﾀﾞｲ</v>
          </cell>
          <cell r="D120">
            <v>74</v>
          </cell>
          <cell r="F120" t="str">
            <v>財団法人　
日本国際問題研究所</v>
          </cell>
          <cell r="H120" t="str">
            <v>太平洋協力に関する業務委嘱（上半期）</v>
          </cell>
          <cell r="I120" t="str">
            <v>外務省大臣官房
会計課長
上月豊久
東京都千代田区
霞が関２－２－１</v>
          </cell>
          <cell r="J120" t="str">
            <v>平成17/04/01</v>
          </cell>
          <cell r="K120">
            <v>10308178</v>
          </cell>
          <cell r="L120" t="str">
            <v>ＰＥＣＣ（太平洋経済協力会議）は、日・豪の合意の元に１９８１年に発足したアジア太平洋地域の産・官・学の三者が参加する国際機関であり、我が国の国内委員会事務局は、当該財団内に設置されており、ＰＥＣＣ日本委員会の業務を同財団以外の組織に委嘱することは不可能（会計法第２９条の３第４項）。</v>
          </cell>
          <cell r="M120" t="str">
            <v>見直しの余地があるもの</v>
          </cell>
          <cell r="N120" t="str">
            <v>一般競争入札等に移行するための準備に時間を要するもの（１９年度以降において公募実施、但し関係国の同意が必要）</v>
          </cell>
          <cell r="P120" t="str">
            <v>所管法×</v>
          </cell>
          <cell r="Q120" t="str">
            <v>法</v>
          </cell>
          <cell r="S120" t="str">
            <v>法19②</v>
          </cell>
          <cell r="T120" t="str">
            <v>法19②</v>
          </cell>
          <cell r="U120" t="str">
            <v>法</v>
          </cell>
          <cell r="X120" t="str">
            <v>②</v>
          </cell>
          <cell r="AA120">
            <v>1700307</v>
          </cell>
          <cell r="AB120">
            <v>1</v>
          </cell>
          <cell r="AC120" t="str">
            <v>17G138</v>
          </cell>
          <cell r="AD120" t="str">
            <v>無指定</v>
          </cell>
          <cell r="AE120" t="str">
            <v>経政</v>
          </cell>
          <cell r="AF120" t="str">
            <v>会計課調達室／サービス調達第１班</v>
          </cell>
          <cell r="AG120" t="str">
            <v>村松</v>
          </cell>
        </row>
        <row r="121">
          <cell r="A121" t="str">
            <v>法75</v>
          </cell>
          <cell r="B121">
            <v>75</v>
          </cell>
          <cell r="C121" t="str">
            <v>ｻﾞｲﾆﾎﾝｺｸｻｲﾓﾝﾀﾞｲ</v>
          </cell>
          <cell r="D121">
            <v>75</v>
          </cell>
          <cell r="F121" t="str">
            <v>財団法人　　　日本国際問題研究所</v>
          </cell>
          <cell r="H121" t="str">
            <v>日豪１．５トラック安全保障対話</v>
          </cell>
          <cell r="I121" t="str">
            <v>外務省大臣官房
会計課長
上月豊久
東京都千代田区
霞が関２－２－１</v>
          </cell>
          <cell r="J121" t="str">
            <v>平成17/07/15</v>
          </cell>
          <cell r="K121">
            <v>2297558</v>
          </cell>
          <cell r="L121" t="str">
            <v>当該財団は、日豪間の合意により、本件事業において、豪側の窓口である豪戦略政策研究所のカウンターパートとして日本側の窓口となっており、本件事業は当該財団に委嘱する以外に選択肢はない（会計法第２９条の３第４項）。</v>
          </cell>
          <cell r="M121" t="str">
            <v>見直しの余地があるもの</v>
          </cell>
          <cell r="N121" t="str">
            <v>一般競争入札等に移行するための準備に時間を要するもの（１９年度以降において公募実施、但し関係国の同意が必要）</v>
          </cell>
          <cell r="P121" t="str">
            <v>所管法×</v>
          </cell>
          <cell r="Q121" t="str">
            <v>法</v>
          </cell>
          <cell r="S121" t="str">
            <v>法19②</v>
          </cell>
          <cell r="T121" t="str">
            <v>法19②</v>
          </cell>
          <cell r="U121" t="str">
            <v>法</v>
          </cell>
          <cell r="X121" t="str">
            <v>②</v>
          </cell>
          <cell r="AA121">
            <v>1700916</v>
          </cell>
          <cell r="AB121">
            <v>1</v>
          </cell>
          <cell r="AC121" t="str">
            <v>17G540</v>
          </cell>
          <cell r="AD121" t="str">
            <v xml:space="preserve"> </v>
          </cell>
          <cell r="AE121" t="str">
            <v>亜洋</v>
          </cell>
          <cell r="AF121" t="str">
            <v>会計課調達室／サービス調達第２班</v>
          </cell>
          <cell r="AG121" t="str">
            <v>和田</v>
          </cell>
        </row>
        <row r="122">
          <cell r="A122" t="str">
            <v>法76</v>
          </cell>
          <cell r="B122">
            <v>76</v>
          </cell>
          <cell r="C122" t="str">
            <v>ｻﾞｲﾆﾎﾝｺｸｻｲﾓﾝﾀﾞｲ</v>
          </cell>
          <cell r="D122">
            <v>76</v>
          </cell>
          <cell r="F122" t="str">
            <v>財団法人　
日本国際問題研究所</v>
          </cell>
          <cell r="H122" t="str">
            <v>「アジア太平洋多国間安全保障研究会」に係る研究</v>
          </cell>
          <cell r="I122" t="str">
            <v>外務省大臣官房
会計課長
上月豊久
東京都千代田区
霞が関２－２－１</v>
          </cell>
          <cell r="J122" t="str">
            <v>平成17/09/01</v>
          </cell>
          <cell r="K122">
            <v>4109608</v>
          </cell>
          <cell r="L122" t="str">
            <v>当該財団はアジア太平洋安全保障協力会議（ＣＳＣＡＰ）の日本事務局（ＣＳＣＡＰ憲章にも当該財団の名称が明記されている）であり、本件を他の機関に委託することはできない（会計法第２９条の３第４項）。</v>
          </cell>
          <cell r="M122" t="str">
            <v>その他のもの</v>
          </cell>
          <cell r="N122" t="str">
            <v>ー
（随意契約によらざるを得ないもの）</v>
          </cell>
          <cell r="P122" t="str">
            <v>所管法×</v>
          </cell>
          <cell r="Q122" t="str">
            <v>法</v>
          </cell>
          <cell r="S122" t="str">
            <v>法1</v>
          </cell>
          <cell r="T122" t="str">
            <v>法1</v>
          </cell>
          <cell r="U122" t="str">
            <v>法</v>
          </cell>
          <cell r="V122" t="str">
            <v>●</v>
          </cell>
          <cell r="AA122">
            <v>1701002</v>
          </cell>
          <cell r="AB122">
            <v>1</v>
          </cell>
          <cell r="AC122" t="str">
            <v>17G639</v>
          </cell>
          <cell r="AD122" t="str">
            <v xml:space="preserve"> </v>
          </cell>
          <cell r="AE122" t="str">
            <v>総安</v>
          </cell>
          <cell r="AF122" t="str">
            <v>会計課調達室／サービス調達第１班</v>
          </cell>
          <cell r="AG122" t="str">
            <v>村松</v>
          </cell>
          <cell r="AI122" t="str">
            <v>国際的取り決めによるもの</v>
          </cell>
          <cell r="AJ122" t="str">
            <v>イ（ロ）</v>
          </cell>
        </row>
        <row r="123">
          <cell r="A123" t="str">
            <v>法77</v>
          </cell>
          <cell r="B123">
            <v>77</v>
          </cell>
          <cell r="C123" t="str">
            <v>ｻﾞｲﾆﾎﾝｺｸｻｲﾓﾝﾀﾞｲ</v>
          </cell>
          <cell r="D123">
            <v>77</v>
          </cell>
          <cell r="F123" t="str">
            <v>財団法人　
日本国際問題研究所</v>
          </cell>
          <cell r="H123" t="str">
            <v>太平洋協力に関する業務委嘱（下半期）</v>
          </cell>
          <cell r="I123" t="str">
            <v>外務省大臣官房
会計課長
上月豊久
東京都千代田区
霞が関２－２－１</v>
          </cell>
          <cell r="J123" t="str">
            <v>平成17/10/01</v>
          </cell>
          <cell r="K123">
            <v>8429497</v>
          </cell>
          <cell r="L123" t="str">
            <v>ＰＥＣＣ（太平洋経済協力会議）は、日・豪の合意の元に１９８１年に発足したアジア太平洋地域の産・官・学の三者が参加する国際機関であり、我が国の国内委員会事務局は、当該財団内に設置されており、ＰＥＣＣ日本委員会の業務を同財団以外の組織に委嘱することは不可能（会計法第２９条の３第５項）。</v>
          </cell>
          <cell r="M123" t="str">
            <v>見直しの余地があるもの</v>
          </cell>
          <cell r="N123" t="str">
            <v>一般競争入札等に移行するための準備に時間を要するもの（１９年度以降において公募実施、但し関係国の同意が必要）</v>
          </cell>
          <cell r="P123" t="str">
            <v>所管法×</v>
          </cell>
          <cell r="Q123" t="str">
            <v>法</v>
          </cell>
          <cell r="S123" t="str">
            <v>法19②</v>
          </cell>
          <cell r="T123" t="str">
            <v>法19②</v>
          </cell>
          <cell r="U123" t="str">
            <v>法</v>
          </cell>
          <cell r="X123" t="str">
            <v>②</v>
          </cell>
          <cell r="AA123">
            <v>1701210</v>
          </cell>
          <cell r="AB123">
            <v>1</v>
          </cell>
          <cell r="AC123" t="str">
            <v>17G828</v>
          </cell>
          <cell r="AD123" t="str">
            <v>無指定</v>
          </cell>
          <cell r="AE123" t="str">
            <v>経ア太</v>
          </cell>
          <cell r="AF123" t="str">
            <v>会計課調達室／サービス調達第１班</v>
          </cell>
          <cell r="AG123" t="str">
            <v>村松</v>
          </cell>
        </row>
        <row r="124">
          <cell r="A124" t="str">
            <v>法78</v>
          </cell>
          <cell r="B124">
            <v>78</v>
          </cell>
          <cell r="C124" t="str">
            <v>ｻﾞｲﾆﾎﾝｺｸｻｲﾓﾝﾀﾞｲ</v>
          </cell>
          <cell r="D124">
            <v>78</v>
          </cell>
          <cell r="F124" t="str">
            <v>財団法人　　日本国際問題研究所</v>
          </cell>
          <cell r="H124" t="str">
            <v>日・ＡＳＥＡＮ安全保障シンポジウム開催及び開催準備に関わる業務委嘱</v>
          </cell>
          <cell r="I124" t="str">
            <v>外務省大臣官房
会計課長
上月豊久
東京都千代田区
霞が関２－２－１</v>
          </cell>
          <cell r="J124" t="str">
            <v>平成17/10/05</v>
          </cell>
          <cell r="K124">
            <v>7942535</v>
          </cell>
          <cell r="L124" t="str">
            <v>日本とＡＳＥＡＮの安全保障面における協力をテーマに同首脳会議に提出する政策提言を同研究所とシンガポール戦略研究所が共同で行うことが関係国間で合意されているため、他の者には実行不可能（会計法第２９条の３第４項）。</v>
          </cell>
          <cell r="M124" t="str">
            <v>見直しの余地があるもの</v>
          </cell>
          <cell r="N124" t="str">
            <v>１８年度において当該事務・事業の委託等を行う予定なし</v>
          </cell>
          <cell r="P124" t="str">
            <v>所管法×</v>
          </cell>
          <cell r="Q124" t="str">
            <v>法</v>
          </cell>
          <cell r="S124" t="str">
            <v>法18×</v>
          </cell>
          <cell r="T124" t="str">
            <v>法18×</v>
          </cell>
          <cell r="U124" t="str">
            <v>法</v>
          </cell>
          <cell r="W124" t="str">
            <v>×</v>
          </cell>
          <cell r="AA124">
            <v>1701226</v>
          </cell>
          <cell r="AB124">
            <v>1</v>
          </cell>
          <cell r="AC124" t="str">
            <v>17G771</v>
          </cell>
          <cell r="AD124" t="str">
            <v>極秘</v>
          </cell>
          <cell r="AE124" t="str">
            <v>亜地政</v>
          </cell>
          <cell r="AF124" t="str">
            <v>会計課調達室／サービス調達第２班</v>
          </cell>
          <cell r="AG124" t="str">
            <v>荒井</v>
          </cell>
        </row>
        <row r="125">
          <cell r="A125" t="str">
            <v>法79</v>
          </cell>
          <cell r="B125">
            <v>79</v>
          </cell>
          <cell r="C125" t="str">
            <v>ｻﾞｲﾆﾎﾝｺｸｻｲﾓﾝﾀﾞｲ</v>
          </cell>
          <cell r="D125">
            <v>79</v>
          </cell>
          <cell r="F125" t="str">
            <v>財団法人　　　日本国際問題研究所</v>
          </cell>
          <cell r="H125" t="str">
            <v>「盧武鉉政権下の韓国の変化に関する研究」に関するワークショップの開催及び報告書の作成</v>
          </cell>
          <cell r="I125" t="str">
            <v>外務省大臣官房
会計課長
上月豊久
東京都千代田区
霞が関２－２－１</v>
          </cell>
          <cell r="J125" t="str">
            <v>平成18/01/25</v>
          </cell>
          <cell r="K125">
            <v>2431344</v>
          </cell>
          <cell r="L125" t="str">
            <v>同研究所は、これまでに、平成９年、平成１１年にそれぞれの時代の政権における政治、経済、社会、外交について研究を行ってきた実績を有している。今般のワークショップは、これまでの研究の延長線上として位置付けるべきものであり、下地のない他の研究機関に委託することは本件ワークショップ開催の目的を達成できず不適当（会計法第２９条の３第４項）。　　　　　　　　　　　　　　　　　　　　　　　　　</v>
          </cell>
          <cell r="M125" t="str">
            <v>見直しの余地があるもの</v>
          </cell>
          <cell r="N125" t="str">
            <v>１８年度において当該事務・事業の委託等を行う予定なし</v>
          </cell>
          <cell r="P125" t="str">
            <v>所管法×</v>
          </cell>
          <cell r="Q125" t="str">
            <v>法</v>
          </cell>
          <cell r="S125" t="str">
            <v>法18×</v>
          </cell>
          <cell r="T125" t="str">
            <v>法18×</v>
          </cell>
          <cell r="U125" t="str">
            <v>法</v>
          </cell>
          <cell r="W125" t="str">
            <v>×</v>
          </cell>
          <cell r="AA125">
            <v>1701630</v>
          </cell>
          <cell r="AB125">
            <v>1</v>
          </cell>
          <cell r="AC125" t="str">
            <v>17h060</v>
          </cell>
          <cell r="AD125" t="str">
            <v>取扱注意</v>
          </cell>
          <cell r="AE125" t="str">
            <v>亜北</v>
          </cell>
          <cell r="AF125" t="str">
            <v>会計課調達室／サービス調達第１班</v>
          </cell>
          <cell r="AG125" t="str">
            <v>竹沢</v>
          </cell>
        </row>
        <row r="126">
          <cell r="A126" t="str">
            <v>法80</v>
          </cell>
          <cell r="B126">
            <v>80</v>
          </cell>
          <cell r="C126" t="str">
            <v>ｻﾞｲﾆﾎﾝｺｸｻｲﾓﾝﾀﾞｲ</v>
          </cell>
          <cell r="D126">
            <v>80</v>
          </cell>
          <cell r="F126" t="str">
            <v>財団法人
日本国際問題研究所</v>
          </cell>
          <cell r="H126" t="str">
            <v>第９回日米中会議開催に係る業務委嘱</v>
          </cell>
          <cell r="I126" t="str">
            <v>外務省大臣官房
会計課長
上月豊久
東京都千代田区
霞が関２－２－１</v>
          </cell>
          <cell r="J126" t="str">
            <v>平成18/02/28</v>
          </cell>
          <cell r="K126">
            <v>4263639</v>
          </cell>
          <cell r="L126" t="str">
            <v>本会議は、日米中３カ国の民間有識者を中心とした枠組みであり、アジア太平洋地域の安全保障問題を中心議題として経済社会問題も議論するもの。同研究所は本会議の日本側窓口であり本件は他の機関には実施できない（会計法第２９条の３第４項）</v>
          </cell>
          <cell r="M126" t="str">
            <v>見直しの余地があるもの</v>
          </cell>
          <cell r="N126" t="str">
            <v>一般競争入札等に移行するための準備に時間を要するもの（１９年度以降において公募実施、但し関係国の同意が必要）</v>
          </cell>
          <cell r="P126" t="str">
            <v>所管法×</v>
          </cell>
          <cell r="Q126" t="str">
            <v>法</v>
          </cell>
          <cell r="S126" t="str">
            <v>法19②</v>
          </cell>
          <cell r="T126" t="str">
            <v>法19②</v>
          </cell>
          <cell r="U126" t="str">
            <v>法</v>
          </cell>
          <cell r="X126" t="str">
            <v>②</v>
          </cell>
          <cell r="AA126">
            <v>1701719</v>
          </cell>
          <cell r="AB126">
            <v>1</v>
          </cell>
          <cell r="AC126" t="str">
            <v>17H197</v>
          </cell>
          <cell r="AD126" t="str">
            <v>無指定</v>
          </cell>
          <cell r="AE126" t="str">
            <v>総企</v>
          </cell>
          <cell r="AF126" t="str">
            <v>会計課調達室／サービス調達第２班</v>
          </cell>
          <cell r="AG126" t="str">
            <v>田中</v>
          </cell>
        </row>
        <row r="127">
          <cell r="A127" t="str">
            <v>法81</v>
          </cell>
          <cell r="B127">
            <v>81</v>
          </cell>
          <cell r="C127" t="str">
            <v>ｻﾞｲﾆﾎﾝｺｸｻｲﾓﾝﾀﾞｲ</v>
          </cell>
          <cell r="D127">
            <v>81</v>
          </cell>
          <cell r="F127" t="str">
            <v>財団法人　
日本国際問題研究所</v>
          </cell>
          <cell r="H127" t="str">
            <v>軍縮・不拡散調査研究等の委嘱</v>
          </cell>
          <cell r="I127" t="str">
            <v>外務省大臣官房
会計課長
上月豊久
東京都千代田区
霞が関２－２－１</v>
          </cell>
          <cell r="J127" t="str">
            <v>平成17/04/01</v>
          </cell>
          <cell r="K127">
            <v>20132333</v>
          </cell>
          <cell r="L127" t="str">
            <v>軍備管理・軍縮・不拡散分野全般で、総合的な知見及び国内外の専門家・研究者との高度かつ広範囲のネットワークを有しているシンクタンクは日本国際問題研究所軍縮不拡散・促進センター以外にない。また、同センターにこれまでの調査研究で得た専門的な知見を活用し、ノウハウの蓄積を図らしめることは、当省の専門的知識の蓄積に資すると共に、民間研究者党の利益にも適う（会計法第２９条の３第４項）。</v>
          </cell>
          <cell r="M127" t="str">
            <v>見直しの余地があるもの</v>
          </cell>
          <cell r="N127" t="str">
            <v>一般競争入札等に移行するための準備に時間を要するもの（１９年度以降において公募実施）</v>
          </cell>
          <cell r="P127" t="str">
            <v>所管法×</v>
          </cell>
          <cell r="Q127" t="str">
            <v>法</v>
          </cell>
          <cell r="S127" t="str">
            <v>法19②</v>
          </cell>
          <cell r="T127" t="str">
            <v>法19②</v>
          </cell>
          <cell r="U127" t="str">
            <v>法</v>
          </cell>
          <cell r="X127" t="str">
            <v>②</v>
          </cell>
          <cell r="AA127">
            <v>1700296</v>
          </cell>
          <cell r="AB127">
            <v>1</v>
          </cell>
          <cell r="AC127" t="str">
            <v>17G040</v>
          </cell>
          <cell r="AD127" t="str">
            <v>無指定</v>
          </cell>
          <cell r="AE127" t="str">
            <v>軍軍</v>
          </cell>
          <cell r="AF127" t="str">
            <v>会計課調達室／サービス調達第１班</v>
          </cell>
          <cell r="AG127" t="str">
            <v>村松</v>
          </cell>
        </row>
        <row r="128">
          <cell r="A128" t="str">
            <v>法82</v>
          </cell>
          <cell r="B128">
            <v>82</v>
          </cell>
          <cell r="C128" t="str">
            <v>ｻﾞｲﾆﾎﾝｺｸｻｲﾓﾝﾀﾞｲ</v>
          </cell>
          <cell r="D128">
            <v>82</v>
          </cell>
          <cell r="F128" t="str">
            <v>財団法人　
日本国際問題研究所</v>
          </cell>
          <cell r="H128" t="str">
            <v>「第二回ＢＷＣ東京セミナー公開セッション」開催業務</v>
          </cell>
          <cell r="I128" t="str">
            <v>外務省大臣官房
会計課長
上月豊久
東京都千代田区
霞が関２－２－１</v>
          </cell>
          <cell r="J128" t="str">
            <v>平成18/01/05</v>
          </cell>
          <cell r="K128">
            <v>1698011</v>
          </cell>
          <cell r="L128" t="str">
            <v>生物兵器禁止条約に関する本ｾﾐﾅｰ公開セッションを開催するにあたり、軍縮分野において高い国際的評価を得ており、かつ専門的知識を要するＢＷＣについて知見を有しているのは、国際問題研究所軍縮不拡散・促進センターのみであり、また、同センターは国内外の専門家・研究者と密度の濃い広範囲なネットワークを有しているので、同センターのみががこの特殊案件をとりまとめられる（会計法第２９条の３第４項）。</v>
          </cell>
          <cell r="M128" t="str">
            <v>見直しの余地があるもの</v>
          </cell>
          <cell r="N128" t="str">
            <v>１８年度において当該事務・事業の委託等を行う予定なし</v>
          </cell>
          <cell r="P128" t="str">
            <v>所管法×</v>
          </cell>
          <cell r="Q128" t="str">
            <v>法</v>
          </cell>
          <cell r="S128" t="str">
            <v>法18×</v>
          </cell>
          <cell r="T128" t="str">
            <v>法18×</v>
          </cell>
          <cell r="U128" t="str">
            <v>法</v>
          </cell>
          <cell r="W128" t="str">
            <v>×</v>
          </cell>
          <cell r="AA128">
            <v>1701611</v>
          </cell>
          <cell r="AB128">
            <v>1</v>
          </cell>
          <cell r="AC128" t="str">
            <v>17H015</v>
          </cell>
          <cell r="AD128" t="str">
            <v>無指定</v>
          </cell>
          <cell r="AE128" t="str">
            <v>軍化兵</v>
          </cell>
          <cell r="AF128" t="str">
            <v>会計課調達室／サービス調達第２班</v>
          </cell>
          <cell r="AG128" t="str">
            <v>荒井</v>
          </cell>
        </row>
        <row r="129">
          <cell r="A129" t="str">
            <v>法83</v>
          </cell>
          <cell r="B129">
            <v>83</v>
          </cell>
          <cell r="C129" t="str">
            <v>ｻﾞｲﾆﾎﾝｺｸｻｲﾚﾝｺﾞｳ</v>
          </cell>
          <cell r="D129">
            <v>83</v>
          </cell>
          <cell r="F129" t="str">
            <v>財団法人　　日本国際連合協会</v>
          </cell>
          <cell r="H129" t="str">
            <v>「国連ジャーナル」秋号の購入</v>
          </cell>
          <cell r="I129" t="str">
            <v>外務省大臣官房
会計課長
上月豊久
東京都千代田区
霞が関２－２－１</v>
          </cell>
          <cell r="J129" t="str">
            <v>平成17/08/24</v>
          </cell>
          <cell r="K129">
            <v>4132357</v>
          </cell>
          <cell r="L129" t="str">
            <v>出版元である（財）日本国際連合協会から直接購入するものであり、他に競争を許さない（会計法第２９条の３第４項）。</v>
          </cell>
          <cell r="M129" t="str">
            <v>その他のもの</v>
          </cell>
          <cell r="N129" t="str">
            <v>ー
（随意契約によらざるを得ないもの）</v>
          </cell>
          <cell r="P129" t="str">
            <v>所管法×</v>
          </cell>
          <cell r="Q129" t="str">
            <v>法</v>
          </cell>
          <cell r="S129" t="str">
            <v>法1</v>
          </cell>
          <cell r="T129" t="str">
            <v>法1</v>
          </cell>
          <cell r="U129" t="str">
            <v>法</v>
          </cell>
          <cell r="V129" t="str">
            <v>●</v>
          </cell>
          <cell r="AA129">
            <v>1701081</v>
          </cell>
          <cell r="AB129">
            <v>1</v>
          </cell>
          <cell r="AC129" t="str">
            <v>17X268</v>
          </cell>
          <cell r="AD129" t="str">
            <v xml:space="preserve"> </v>
          </cell>
          <cell r="AE129" t="str">
            <v>国政</v>
          </cell>
          <cell r="AF129" t="str">
            <v>会計課調達室／物品調達班</v>
          </cell>
          <cell r="AG129" t="str">
            <v>宮田</v>
          </cell>
          <cell r="AI129" t="str">
            <v>出版元からの書籍購入</v>
          </cell>
          <cell r="AJ129" t="str">
            <v>ニ（ニ）</v>
          </cell>
        </row>
        <row r="130">
          <cell r="A130" t="str">
            <v>法84</v>
          </cell>
          <cell r="B130">
            <v>84</v>
          </cell>
          <cell r="C130" t="str">
            <v>ｻﾞｲﾆﾎﾝｺｸｻｲﾚﾝｺﾞｳ</v>
          </cell>
          <cell r="D130">
            <v>84</v>
          </cell>
          <cell r="F130" t="str">
            <v>財団法人　　日本国際連合協会</v>
          </cell>
          <cell r="H130" t="str">
            <v>「国連ジャーナル」春号の購入</v>
          </cell>
          <cell r="I130" t="str">
            <v>外務省大臣官房
会計課長
上月豊久
東京都千代田区
霞が関２－２－１</v>
          </cell>
          <cell r="J130" t="str">
            <v>平成18/02/10</v>
          </cell>
          <cell r="K130">
            <v>4132357</v>
          </cell>
          <cell r="L130" t="str">
            <v>出版元である（財）日本国際連合協会から直接購入するものであり、他に競争を許さない（会計法第２９条の３第４項）。</v>
          </cell>
          <cell r="M130" t="str">
            <v>その他のもの</v>
          </cell>
          <cell r="N130" t="str">
            <v>ー
（随意契約によらざるを得ないもの）</v>
          </cell>
          <cell r="P130" t="str">
            <v>所管法×</v>
          </cell>
          <cell r="Q130" t="str">
            <v>法</v>
          </cell>
          <cell r="S130" t="str">
            <v>法1</v>
          </cell>
          <cell r="T130" t="str">
            <v>法1</v>
          </cell>
          <cell r="U130" t="str">
            <v>法</v>
          </cell>
          <cell r="V130" t="str">
            <v>●</v>
          </cell>
          <cell r="AA130">
            <v>1701713</v>
          </cell>
          <cell r="AB130">
            <v>1</v>
          </cell>
          <cell r="AC130" t="str">
            <v>17X479</v>
          </cell>
          <cell r="AD130" t="str">
            <v>無指定</v>
          </cell>
          <cell r="AE130" t="str">
            <v>国政</v>
          </cell>
          <cell r="AF130" t="str">
            <v>会計課調達室／物品調達班</v>
          </cell>
          <cell r="AG130" t="str">
            <v>宮田</v>
          </cell>
          <cell r="AI130" t="str">
            <v>出版元からの書籍購入</v>
          </cell>
          <cell r="AJ130" t="str">
            <v>ニ（ニ）</v>
          </cell>
        </row>
        <row r="131">
          <cell r="A131" t="str">
            <v>法85</v>
          </cell>
          <cell r="B131">
            <v>85</v>
          </cell>
          <cell r="C131" t="str">
            <v>ｻﾞｲﾍｲﾜｱﾝｾﾞﾝﾎｼｮｳ</v>
          </cell>
          <cell r="D131">
            <v>85</v>
          </cell>
          <cell r="F131" t="str">
            <v>財団法人　　平和・安全保障研究所</v>
          </cell>
          <cell r="H131" t="str">
            <v>大量破壊兵器の拡散及び仲介者に関する最近の動向分析（企画招請）</v>
          </cell>
          <cell r="I131" t="str">
            <v>外務省大臣官房
会計課長
上月豊久
東京都千代田区
霞が関２－２－１</v>
          </cell>
          <cell r="J131" t="str">
            <v>平成17/09/15</v>
          </cell>
          <cell r="K131">
            <v>2461658</v>
          </cell>
          <cell r="L131"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31" t="str">
            <v>見直しの余地があるもの</v>
          </cell>
          <cell r="N131" t="str">
            <v>１８年度において当該事務・事業の委託等を行う予定なし</v>
          </cell>
          <cell r="P131" t="str">
            <v>所管法○</v>
          </cell>
          <cell r="Q131" t="str">
            <v>法</v>
          </cell>
          <cell r="R131" t="str">
            <v>○</v>
          </cell>
          <cell r="S131" t="str">
            <v>法18×</v>
          </cell>
          <cell r="T131" t="str">
            <v>法18×</v>
          </cell>
          <cell r="U131" t="str">
            <v>法</v>
          </cell>
          <cell r="W131" t="str">
            <v>×</v>
          </cell>
          <cell r="AA131">
            <v>1701089</v>
          </cell>
          <cell r="AB131">
            <v>2</v>
          </cell>
          <cell r="AC131" t="str">
            <v>17G670</v>
          </cell>
          <cell r="AD131" t="str">
            <v xml:space="preserve"> </v>
          </cell>
          <cell r="AE131" t="str">
            <v>情報１</v>
          </cell>
          <cell r="AF131" t="str">
            <v>会計課調達室／サービス調達第１班</v>
          </cell>
          <cell r="AG131" t="str">
            <v>村松</v>
          </cell>
        </row>
        <row r="132">
          <cell r="A132" t="str">
            <v>法86</v>
          </cell>
          <cell r="B132">
            <v>86</v>
          </cell>
          <cell r="C132" t="str">
            <v>ｻﾞｲﾍｲﾜｱﾝｾﾞﾝﾎｼｮｳ</v>
          </cell>
          <cell r="D132">
            <v>86</v>
          </cell>
          <cell r="F132" t="str">
            <v>財団法人　　　平和・安全保障研究所</v>
          </cell>
          <cell r="H132" t="str">
            <v>南シナ海周辺の領土問題（企画招請）</v>
          </cell>
          <cell r="I132" t="str">
            <v>外務省大臣官房
会計課長
上月豊久
東京都千代田区
霞が関２－２－１</v>
          </cell>
          <cell r="J132" t="str">
            <v>平成17/09/15</v>
          </cell>
          <cell r="K132">
            <v>2147130</v>
          </cell>
          <cell r="L132"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32" t="str">
            <v>見直しの余地があるもの</v>
          </cell>
          <cell r="N132" t="str">
            <v>１８年度において当該事務・事業の委託等を行う予定なし</v>
          </cell>
          <cell r="P132" t="str">
            <v>所管法○</v>
          </cell>
          <cell r="Q132" t="str">
            <v>法</v>
          </cell>
          <cell r="R132" t="str">
            <v>○</v>
          </cell>
          <cell r="S132" t="str">
            <v>法18×</v>
          </cell>
          <cell r="T132" t="str">
            <v>法18×</v>
          </cell>
          <cell r="U132" t="str">
            <v>法</v>
          </cell>
          <cell r="W132" t="str">
            <v>×</v>
          </cell>
          <cell r="AA132">
            <v>1701089</v>
          </cell>
          <cell r="AB132">
            <v>4</v>
          </cell>
          <cell r="AC132" t="str">
            <v>17G672</v>
          </cell>
          <cell r="AD132" t="str">
            <v xml:space="preserve"> </v>
          </cell>
          <cell r="AE132" t="str">
            <v>情報１</v>
          </cell>
          <cell r="AF132" t="str">
            <v>会計課調達室／サービス調達第１班</v>
          </cell>
          <cell r="AG132" t="str">
            <v>村松</v>
          </cell>
        </row>
        <row r="133">
          <cell r="A133" t="str">
            <v>法87</v>
          </cell>
          <cell r="B133">
            <v>87</v>
          </cell>
          <cell r="C133" t="str">
            <v>ｻﾞｲﾍｲﾜｱﾝｾﾞﾝﾎｼｮｳ</v>
          </cell>
          <cell r="D133">
            <v>87</v>
          </cell>
          <cell r="F133" t="str">
            <v>財団法人　　　平和・安全保障研究所</v>
          </cell>
          <cell r="H133" t="str">
            <v>今後のロシア外交政策決定における中国要因の考察（企画招請）</v>
          </cell>
          <cell r="I133" t="str">
            <v>外務省大臣官房
会計課長
上月豊久
東京都千代田区
霞が関２－２－１</v>
          </cell>
          <cell r="J133" t="str">
            <v>平成17/09/15</v>
          </cell>
          <cell r="K133">
            <v>2972880</v>
          </cell>
          <cell r="L133"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33" t="str">
            <v>見直しの余地があるもの</v>
          </cell>
          <cell r="N133" t="str">
            <v>１８年度において当該事務・事業の委託等を行う予定なし</v>
          </cell>
          <cell r="P133" t="str">
            <v>所管法○</v>
          </cell>
          <cell r="Q133" t="str">
            <v>法</v>
          </cell>
          <cell r="R133" t="str">
            <v>○</v>
          </cell>
          <cell r="S133" t="str">
            <v>法18×</v>
          </cell>
          <cell r="T133" t="str">
            <v>法18×</v>
          </cell>
          <cell r="U133" t="str">
            <v>法</v>
          </cell>
          <cell r="W133" t="str">
            <v>×</v>
          </cell>
          <cell r="AA133">
            <v>1701089</v>
          </cell>
          <cell r="AB133">
            <v>7</v>
          </cell>
          <cell r="AC133" t="str">
            <v>17G675</v>
          </cell>
          <cell r="AD133" t="str">
            <v xml:space="preserve"> </v>
          </cell>
          <cell r="AE133" t="str">
            <v>情報１</v>
          </cell>
          <cell r="AF133" t="str">
            <v>会計課調達室／サービス調達第１班</v>
          </cell>
          <cell r="AG133" t="str">
            <v>村松</v>
          </cell>
        </row>
        <row r="134">
          <cell r="A134" t="str">
            <v>法88</v>
          </cell>
          <cell r="B134">
            <v>88</v>
          </cell>
          <cell r="C134" t="str">
            <v>ｻﾞｲﾍｲﾜｱﾝｾﾞﾝﾎｼｮｳ</v>
          </cell>
          <cell r="D134">
            <v>88</v>
          </cell>
          <cell r="F134" t="str">
            <v>財団法人　
平和・安全保障研究所</v>
          </cell>
          <cell r="H134" t="str">
            <v>「第４回平和と安全に関する日加協力シンポジウム」開催にかかる業務の委嘱</v>
          </cell>
          <cell r="I134" t="str">
            <v>外務省大臣官房
会計課長
上月豊久
東京都千代田区
霞が関２－２－１</v>
          </cell>
          <cell r="J134" t="str">
            <v>平成17/06/07</v>
          </cell>
          <cell r="K134">
            <v>6274849</v>
          </cell>
          <cell r="L134" t="str">
            <v>本件事業の委嘱には、カナダの外交政策や日加関係を充分に把握し、さらに、安全保障や軍縮・軍備管理・不拡散等の個別分野においても専門的知見を有していることが求められるが、このような事業に精通している業者は他にない（会計法第２９条の３第４項）。</v>
          </cell>
          <cell r="M134" t="str">
            <v>見直しの余地があるもの</v>
          </cell>
          <cell r="N134" t="str">
            <v>１８年度において当該事務・事業の委託等を行う予定なし</v>
          </cell>
          <cell r="P134" t="str">
            <v>所管法×</v>
          </cell>
          <cell r="Q134" t="str">
            <v>法</v>
          </cell>
          <cell r="S134" t="str">
            <v>法18×</v>
          </cell>
          <cell r="T134" t="str">
            <v>法18×</v>
          </cell>
          <cell r="U134" t="str">
            <v>法</v>
          </cell>
          <cell r="W134" t="str">
            <v>×</v>
          </cell>
          <cell r="AA134">
            <v>1700820</v>
          </cell>
          <cell r="AB134">
            <v>1</v>
          </cell>
          <cell r="AC134" t="str">
            <v>17G396</v>
          </cell>
          <cell r="AD134" t="str">
            <v xml:space="preserve"> </v>
          </cell>
          <cell r="AE134" t="str">
            <v>北米１</v>
          </cell>
          <cell r="AF134" t="str">
            <v>会計課調達室／サービス調達第２班</v>
          </cell>
          <cell r="AG134" t="str">
            <v>高出</v>
          </cell>
        </row>
        <row r="135">
          <cell r="A135" t="str">
            <v>法89</v>
          </cell>
          <cell r="B135">
            <v>89</v>
          </cell>
          <cell r="C135" t="str">
            <v>ｻﾞｲﾌｫｰﾘﾝ</v>
          </cell>
          <cell r="D135">
            <v>89</v>
          </cell>
          <cell r="F135" t="str">
            <v>財団法人　フォーリン・プレスセンター</v>
          </cell>
          <cell r="H135" t="str">
            <v>総理・外務大臣の外国訪問時等の邦人記者への配付資料等の英訳及び在京外国特派員への配信に関する業務委嘱契約</v>
          </cell>
          <cell r="I135" t="str">
            <v>外務省大臣官房
会計課長
上月豊久
東京都千代田区
霞が関２－２－１</v>
          </cell>
          <cell r="J135" t="str">
            <v>平成17/04/01</v>
          </cell>
          <cell r="K135">
            <v>945000</v>
          </cell>
          <cell r="L135" t="str">
            <v>本件業務は、総理・外務大臣の外国訪問時及びその他主要外交行事に邦人記者に対し配信される資料（特に訪問の意義、我が国の立場、主要テーマ等）を英訳して配信するもので、資料を遅滞なく配信するために各々の外交行事に関連する秘度の高い情報を恒常的に取り扱うこととなることから、一般競争入札等により事業者を選定することは不可能である（会計法第２９条の３第４項）。</v>
          </cell>
          <cell r="M135" t="str">
            <v>見直しの余地があるもの</v>
          </cell>
          <cell r="N135" t="str">
            <v>一般競争入札等に移行するための準備に時間を要するもの（１９年度以降において一般競争入札（小額の場合見積もり合わせ）実施）</v>
          </cell>
          <cell r="O135" t="str">
            <v>単価契約</v>
          </cell>
          <cell r="P135" t="str">
            <v>所管法×</v>
          </cell>
          <cell r="Q135" t="str">
            <v>法</v>
          </cell>
          <cell r="S135" t="str">
            <v>法19①</v>
          </cell>
          <cell r="T135" t="str">
            <v>法19①</v>
          </cell>
          <cell r="U135" t="str">
            <v>法</v>
          </cell>
          <cell r="X135" t="str">
            <v>①</v>
          </cell>
          <cell r="AA135">
            <v>1700639</v>
          </cell>
          <cell r="AB135">
            <v>1</v>
          </cell>
          <cell r="AC135" t="str">
            <v>17G061</v>
          </cell>
          <cell r="AD135" t="str">
            <v>無指定</v>
          </cell>
          <cell r="AE135" t="str">
            <v>報際</v>
          </cell>
          <cell r="AF135" t="str">
            <v>会計課調達室／サービス調達第１班</v>
          </cell>
          <cell r="AG135" t="str">
            <v>竹澤</v>
          </cell>
        </row>
        <row r="136">
          <cell r="A136" t="str">
            <v>法90</v>
          </cell>
          <cell r="B136">
            <v>90</v>
          </cell>
          <cell r="C136" t="str">
            <v>ｼｬﾀﾞﾝｶｲｶﾞｲ</v>
          </cell>
          <cell r="D136">
            <v>90</v>
          </cell>
          <cell r="F136" t="str">
            <v>社団法人　　　海外広報協会</v>
          </cell>
          <cell r="H136" t="str">
            <v>「Ｓｕｎｒｉｓｅ　Ｎｅｔｗｏｒｋ」の運用</v>
          </cell>
          <cell r="I136" t="str">
            <v>外務省大臣官房
会計課長
上月豊久
東京都千代田区
霞が関２－２－１</v>
          </cell>
          <cell r="J136" t="str">
            <v>平成17/04/01</v>
          </cell>
          <cell r="K136">
            <v>2910600</v>
          </cell>
          <cell r="L136" t="str">
            <v>本システムは当該団体に構築させたもので、維持管理はシステムを熟知している同団体が行うことが必要。同システムはセキュリティー対策から同団体内の第３者が立ち入れない場所に構築したため、維持管理のみ第３者に委嘱することは不可能（会計法第２９条の３第４項）。　　　　　　　　　　　　　　　　　　　　　　　　　　　　　　　　　　　　　　　　　　　　　　　　　　　　　　　　　　　　　　　　　　　　　　　　　　　　</v>
          </cell>
          <cell r="M136" t="str">
            <v>見直しの余地があるもの</v>
          </cell>
          <cell r="N136" t="str">
            <v>一般競争入札等に移行するための準備に時間を要するもの（２０年度以降において一般競争入札実施）</v>
          </cell>
          <cell r="O136" t="str">
            <v>単価契約分3,000,000</v>
          </cell>
          <cell r="P136" t="str">
            <v>所管法×</v>
          </cell>
          <cell r="Q136" t="str">
            <v>法</v>
          </cell>
          <cell r="S136" t="str">
            <v>法20①</v>
          </cell>
          <cell r="T136" t="str">
            <v>法20①</v>
          </cell>
          <cell r="U136" t="str">
            <v>法</v>
          </cell>
          <cell r="Y136" t="str">
            <v>①</v>
          </cell>
          <cell r="AA136">
            <v>1700448</v>
          </cell>
          <cell r="AB136">
            <v>1</v>
          </cell>
          <cell r="AD136" t="str">
            <v>無指定</v>
          </cell>
          <cell r="AE136" t="str">
            <v>広文総</v>
          </cell>
          <cell r="AF136" t="str">
            <v>会計課調達室／サービス調達第１班</v>
          </cell>
          <cell r="AG136" t="str">
            <v>竹澤</v>
          </cell>
        </row>
        <row r="137">
          <cell r="A137" t="str">
            <v>法91</v>
          </cell>
          <cell r="B137">
            <v>91</v>
          </cell>
          <cell r="C137" t="str">
            <v>ｼｬﾀﾞﾝｶｲｶﾞｲﾎｳｼﾞﾝ</v>
          </cell>
          <cell r="D137">
            <v>91</v>
          </cell>
          <cell r="F137" t="str">
            <v>社団法人
海外邦人安全協会</v>
          </cell>
          <cell r="H137" t="str">
            <v>海外邦人安全対策に関する業務の一部委嘱</v>
          </cell>
          <cell r="I137" t="str">
            <v>外務省大臣官房
会計課長
上月豊久
東京都千代田区
霞が関２－２－１</v>
          </cell>
          <cell r="J137" t="str">
            <v>平成17/04/01</v>
          </cell>
          <cell r="K137">
            <v>9466380</v>
          </cell>
          <cell r="L137" t="str">
            <v>当該法人は、海外における個人及び企業の安全の推進を目的として設立され、平素より国民のニーズに基づく情報の収集・分析及び提供を行っている。本件委嘱業務は、個人や企業に対し、海外における安全対策のための情報を提供するものであり、政府の相談窓口として、正確・公平・中立な対応が必要であるため、邦人保護政策の観点から特定の者に情報と経験を蓄積することが国民の利益に適っている。また、相談を受ける過程で接したテロ関連情報、個人・企業情報等の秘密情報の適切な管理が不可欠である。従って、当該邦人以外に選択肢がない（会計法第</v>
          </cell>
          <cell r="M137" t="str">
            <v>見直しの余地があるもの</v>
          </cell>
          <cell r="N137" t="str">
            <v>一般競争入札等に移行するための準備に時間を要するもの（１９年度以降において公募実施）</v>
          </cell>
          <cell r="P137" t="str">
            <v>所管法×</v>
          </cell>
          <cell r="Q137" t="str">
            <v>法</v>
          </cell>
          <cell r="S137" t="str">
            <v>法19②</v>
          </cell>
          <cell r="T137" t="str">
            <v>法19②</v>
          </cell>
          <cell r="U137" t="str">
            <v>法</v>
          </cell>
          <cell r="X137" t="str">
            <v>②</v>
          </cell>
          <cell r="AA137">
            <v>1700031</v>
          </cell>
          <cell r="AB137">
            <v>1</v>
          </cell>
          <cell r="AC137" t="str">
            <v>17G014</v>
          </cell>
          <cell r="AD137" t="str">
            <v>無指定</v>
          </cell>
          <cell r="AE137" t="str">
            <v>領安</v>
          </cell>
          <cell r="AF137" t="str">
            <v>会計課調達室／サービス調達第１班</v>
          </cell>
          <cell r="AG137" t="str">
            <v>竹澤</v>
          </cell>
        </row>
        <row r="138">
          <cell r="A138" t="str">
            <v>法92</v>
          </cell>
          <cell r="B138">
            <v>92</v>
          </cell>
          <cell r="C138" t="str">
            <v>ｼｬﾀﾞﾝｶｲｶﾞｲﾎｳｼﾞﾝ</v>
          </cell>
          <cell r="D138">
            <v>92</v>
          </cell>
          <cell r="F138" t="str">
            <v>社団法人
海外邦人安全協会</v>
          </cell>
          <cell r="H138" t="str">
            <v>「国際テロ情勢２００５年版」の購入</v>
          </cell>
          <cell r="I138" t="str">
            <v>外務省大臣官房
会計課長
上月豊久
東京都千代田区
霞が関２－２－１</v>
          </cell>
          <cell r="J138" t="str">
            <v>平成17/12/08</v>
          </cell>
          <cell r="K138">
            <v>2116831</v>
          </cell>
          <cell r="L138" t="str">
            <v>出版元である（社）海外邦人安全協会から直接購入するものであり、他に競争を許さないことから、会計法第２９条の３第４項に該当する。</v>
          </cell>
          <cell r="M138" t="str">
            <v>その他のもの</v>
          </cell>
          <cell r="N138" t="str">
            <v>ー
（随意契約によらざるを得ないもの）</v>
          </cell>
          <cell r="P138" t="str">
            <v>所管法×</v>
          </cell>
          <cell r="Q138" t="str">
            <v>法</v>
          </cell>
          <cell r="S138" t="str">
            <v>法1</v>
          </cell>
          <cell r="T138" t="str">
            <v>法1</v>
          </cell>
          <cell r="U138" t="str">
            <v>法</v>
          </cell>
          <cell r="V138" t="str">
            <v>●</v>
          </cell>
          <cell r="AA138">
            <v>1701361</v>
          </cell>
          <cell r="AB138">
            <v>1</v>
          </cell>
          <cell r="AC138" t="str">
            <v>17X396</v>
          </cell>
          <cell r="AD138" t="str">
            <v>無指定</v>
          </cell>
          <cell r="AE138" t="str">
            <v>領対</v>
          </cell>
          <cell r="AF138" t="str">
            <v>会計課調達室／物品管理班</v>
          </cell>
          <cell r="AG138" t="str">
            <v>加藤</v>
          </cell>
        </row>
        <row r="139">
          <cell r="A139" t="str">
            <v>法93</v>
          </cell>
          <cell r="B139">
            <v>93</v>
          </cell>
          <cell r="C139" t="str">
            <v>ｼｬﾀﾞﾝｶﾞｲｺｳﾁｼｷﾌｷｭｳ</v>
          </cell>
          <cell r="D139">
            <v>93</v>
          </cell>
          <cell r="F139" t="str">
            <v>社団法人　
外交知識普及会</v>
          </cell>
          <cell r="H139" t="str">
            <v>「外交」誌の購入</v>
          </cell>
          <cell r="I139" t="str">
            <v>外務省大臣官房
会計課長
上月豊久
東京都千代田区
霞が関２－２－１</v>
          </cell>
          <cell r="J139" t="str">
            <v>平成17/06/06</v>
          </cell>
          <cell r="K139">
            <v>2835000</v>
          </cell>
          <cell r="L139" t="str">
            <v>出版元である（社）外交知識普及会から直接購入するものであり、他に競争を許さない（会計法第２９条の３第４項）。</v>
          </cell>
          <cell r="M139" t="str">
            <v>見直しの余地があるもの</v>
          </cell>
          <cell r="N139" t="str">
            <v>１８年度において当該事務・事業の委託等を行う予定なし</v>
          </cell>
          <cell r="P139" t="str">
            <v>所管法×</v>
          </cell>
          <cell r="Q139" t="str">
            <v>法</v>
          </cell>
          <cell r="S139" t="str">
            <v>法18×</v>
          </cell>
          <cell r="T139" t="str">
            <v>法18×</v>
          </cell>
          <cell r="U139" t="str">
            <v>法</v>
          </cell>
          <cell r="W139" t="str">
            <v>×</v>
          </cell>
          <cell r="AA139">
            <v>1700431</v>
          </cell>
          <cell r="AB139">
            <v>1</v>
          </cell>
          <cell r="AC139" t="str">
            <v>17X141</v>
          </cell>
          <cell r="AD139" t="str">
            <v>無指定</v>
          </cell>
          <cell r="AE139" t="str">
            <v>報内</v>
          </cell>
          <cell r="AF139" t="str">
            <v>会計課調達室／物品調達班</v>
          </cell>
          <cell r="AG139" t="str">
            <v>宮田</v>
          </cell>
        </row>
        <row r="140">
          <cell r="A140" t="str">
            <v>法94</v>
          </cell>
          <cell r="B140">
            <v>94</v>
          </cell>
          <cell r="C140" t="str">
            <v>ｼｬﾀﾞﾝｺｸｻｲﾌﾚ</v>
          </cell>
          <cell r="D140">
            <v>94</v>
          </cell>
          <cell r="F140" t="str">
            <v>社団法人
国際フレンドシップ協会</v>
          </cell>
          <cell r="H140" t="str">
            <v>対ＧＣＣ諸国人材育成支援訪日研修事業（企画招請）</v>
          </cell>
          <cell r="I140" t="str">
            <v>外務省大臣官房
会計課長
上月豊久
東京都千代田区
霞が関２－２－１</v>
          </cell>
          <cell r="J140" t="str">
            <v>平成17/12/07</v>
          </cell>
          <cell r="K140">
            <v>5991238</v>
          </cell>
          <cell r="L140"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40" t="str">
            <v>見直しの余地があるもの</v>
          </cell>
          <cell r="N140" t="str">
            <v>一般競争入札等に移行したもの（企画招請実施）</v>
          </cell>
          <cell r="P140" t="str">
            <v>所管法○</v>
          </cell>
          <cell r="Q140" t="str">
            <v>法</v>
          </cell>
          <cell r="R140" t="str">
            <v>○</v>
          </cell>
          <cell r="S140" t="str">
            <v>法18②</v>
          </cell>
          <cell r="T140" t="str">
            <v>法18②</v>
          </cell>
          <cell r="U140" t="str">
            <v>法</v>
          </cell>
          <cell r="W140" t="str">
            <v>②</v>
          </cell>
          <cell r="AA140">
            <v>1701295</v>
          </cell>
          <cell r="AB140">
            <v>2</v>
          </cell>
          <cell r="AC140" t="str">
            <v>17G909</v>
          </cell>
          <cell r="AD140" t="str">
            <v>無指定</v>
          </cell>
          <cell r="AE140" t="str">
            <v>中東２</v>
          </cell>
          <cell r="AF140" t="str">
            <v>会計課調達室／サービス調達第１班</v>
          </cell>
          <cell r="AG140" t="str">
            <v>村松</v>
          </cell>
        </row>
        <row r="141">
          <cell r="A141" t="str">
            <v>法95</v>
          </cell>
          <cell r="B141">
            <v>95</v>
          </cell>
          <cell r="C141" t="str">
            <v>ｼｬﾀﾞﾝｺｸｻｲﾌﾚ</v>
          </cell>
          <cell r="D141">
            <v>95</v>
          </cell>
          <cell r="F141" t="str">
            <v>社団法人
国際フレンドシップ協会</v>
          </cell>
          <cell r="H141" t="str">
            <v>「歴史教育交流事業」実施（企画招請）</v>
          </cell>
          <cell r="I141" t="str">
            <v>外務省大臣官房
会計課長
上月豊久
東京都千代田区
霞が関２－２－１</v>
          </cell>
          <cell r="J141" t="str">
            <v>平成17/12/20</v>
          </cell>
          <cell r="K141">
            <v>4998152</v>
          </cell>
          <cell r="L141"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41" t="str">
            <v>見直しの余地があるもの</v>
          </cell>
          <cell r="N141" t="str">
            <v>一般競争入札等に移行したもの（企画招請実施）</v>
          </cell>
          <cell r="P141" t="str">
            <v>所管法○</v>
          </cell>
          <cell r="Q141" t="str">
            <v>法</v>
          </cell>
          <cell r="R141" t="str">
            <v>○</v>
          </cell>
          <cell r="S141" t="str">
            <v>法18②</v>
          </cell>
          <cell r="T141" t="str">
            <v>法18②</v>
          </cell>
          <cell r="U141" t="str">
            <v>法</v>
          </cell>
          <cell r="W141" t="str">
            <v>②</v>
          </cell>
          <cell r="AA141">
            <v>1701509</v>
          </cell>
          <cell r="AB141">
            <v>1</v>
          </cell>
          <cell r="AC141" t="str">
            <v>17F245</v>
          </cell>
          <cell r="AD141" t="str">
            <v>無指定</v>
          </cell>
          <cell r="AE141" t="str">
            <v>広文総</v>
          </cell>
          <cell r="AF141" t="str">
            <v>会計課調達室／サービス調達第２班</v>
          </cell>
          <cell r="AG141" t="str">
            <v>荒井</v>
          </cell>
        </row>
        <row r="142">
          <cell r="A142" t="str">
            <v>法96</v>
          </cell>
          <cell r="B142">
            <v>96</v>
          </cell>
          <cell r="C142" t="str">
            <v>ｼｬﾀﾞﾝｺｸｻｲﾌﾚ</v>
          </cell>
          <cell r="D142">
            <v>96</v>
          </cell>
          <cell r="F142" t="str">
            <v>社団法人　　　国際フレンドシップ協会</v>
          </cell>
          <cell r="H142" t="str">
            <v>「歴史教育交流事業（韓国）」実施（企画招請）</v>
          </cell>
          <cell r="I142" t="str">
            <v>外務省大臣官房
会計課長
上月豊久
東京都千代田区
霞が関２－２－１</v>
          </cell>
          <cell r="J142" t="str">
            <v>平成17/12/21</v>
          </cell>
          <cell r="K142">
            <v>3499826</v>
          </cell>
          <cell r="L142"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42" t="str">
            <v>見直しの余地があるもの</v>
          </cell>
          <cell r="N142" t="str">
            <v>一般競争入札等に移行したもの（企画招請実施）</v>
          </cell>
          <cell r="P142" t="str">
            <v>所管法○</v>
          </cell>
          <cell r="Q142" t="str">
            <v>法</v>
          </cell>
          <cell r="R142" t="str">
            <v>○</v>
          </cell>
          <cell r="S142" t="str">
            <v>法18②</v>
          </cell>
          <cell r="T142" t="str">
            <v>法18②</v>
          </cell>
          <cell r="U142" t="str">
            <v>法</v>
          </cell>
          <cell r="W142" t="str">
            <v>②</v>
          </cell>
          <cell r="AA142">
            <v>1701510</v>
          </cell>
          <cell r="AB142">
            <v>1</v>
          </cell>
          <cell r="AC142" t="str">
            <v>17F187</v>
          </cell>
          <cell r="AD142" t="str">
            <v>無指定</v>
          </cell>
          <cell r="AE142" t="str">
            <v>広文総</v>
          </cell>
          <cell r="AF142" t="str">
            <v>会計課調達室／サービス調達第２班</v>
          </cell>
          <cell r="AG142" t="str">
            <v>荒井</v>
          </cell>
        </row>
        <row r="143">
          <cell r="A143" t="str">
            <v>法97</v>
          </cell>
          <cell r="B143">
            <v>97</v>
          </cell>
          <cell r="C143" t="str">
            <v>ｼｬﾀﾞﾝｺｸｻｲｺｳﾘｭｳ</v>
          </cell>
          <cell r="D143">
            <v>97</v>
          </cell>
          <cell r="F143" t="str">
            <v>社団法人　　　国際交流サービス協会</v>
          </cell>
          <cell r="H143" t="str">
            <v>邦人援護事務の一部委嘱</v>
          </cell>
          <cell r="I143" t="str">
            <v>外務省大臣官房
会計課長
上月豊久
東京都千代田区
霞が関２－２－１</v>
          </cell>
          <cell r="J143" t="str">
            <v>平成17/04/01</v>
          </cell>
          <cell r="K143">
            <v>8932620</v>
          </cell>
          <cell r="L143" t="str">
            <v>国の援助等を必要とする帰国者に関する領事官の職務等に関する法律（国援法）に基づく送還費及び海外邦人援護短期貸出金に係る債務者等に対する請求・督促事務は、個人に関する情報を多く含んでいる。また、海外で困窮した邦人の援護は最も慎重な対応を求められる領事事務でもあり、通常の業務委嘱とは異なる。プライバシー（個人情報）保護・保秘及び邦人援護という極めて機微な業務を遂行することから、一般競争入札等の実施は不可能である（会計法第２９条の３第４項）。</v>
          </cell>
          <cell r="M143" t="str">
            <v>見直しの余地があるもの</v>
          </cell>
          <cell r="N143" t="str">
            <v>一般競争入札等に移行するための準備に時間を要するもの（２０年度以降において公募実施）</v>
          </cell>
          <cell r="P143" t="str">
            <v>所管法×</v>
          </cell>
          <cell r="Q143" t="str">
            <v>法</v>
          </cell>
          <cell r="S143" t="str">
            <v>法20②</v>
          </cell>
          <cell r="T143" t="str">
            <v>法20②</v>
          </cell>
          <cell r="U143" t="str">
            <v>法</v>
          </cell>
          <cell r="Y143" t="str">
            <v>②</v>
          </cell>
          <cell r="AA143">
            <v>1700037</v>
          </cell>
          <cell r="AB143">
            <v>1</v>
          </cell>
          <cell r="AC143" t="str">
            <v>17G002</v>
          </cell>
          <cell r="AD143" t="str">
            <v>取扱注意</v>
          </cell>
          <cell r="AE143" t="str">
            <v>領安</v>
          </cell>
          <cell r="AF143" t="str">
            <v>会計課調達室／サービス調達第１班</v>
          </cell>
          <cell r="AG143" t="str">
            <v>村松</v>
          </cell>
        </row>
        <row r="144">
          <cell r="A144" t="str">
            <v>法98</v>
          </cell>
          <cell r="B144">
            <v>98</v>
          </cell>
          <cell r="C144" t="str">
            <v>ｼｬﾀﾞﾝｺｸｻｲｺｳﾘｭｳ</v>
          </cell>
          <cell r="D144">
            <v>98</v>
          </cell>
          <cell r="F144" t="str">
            <v>社団法人
国際交流サービス協会</v>
          </cell>
          <cell r="H144" t="str">
            <v>在外公館の庶務的業務の一部民間への委嘱（派遣員制度）</v>
          </cell>
          <cell r="I144" t="str">
            <v>外務省大臣官房
会計課長
上月豊久
東京都千代田区
霞が関２－２－１</v>
          </cell>
          <cell r="J144" t="str">
            <v>平成17/04/01</v>
          </cell>
          <cell r="K144">
            <v>2116349849</v>
          </cell>
          <cell r="L144" t="str">
            <v>本件制度は、在外公館における庶務的事務の一部補助を民間に委嘱するものであり、昭和４８年度の制度発足以来、国際交流サービス協会と契約を行っている。在外公館で必要とされる外国語能力を生かしつつ庶務的業務補助を行うという特殊業務を正しく理解し、我が方が求める人材を多数派遣しうる業者は他に見いだせないことから本件契約相手先として唯一の者である（会計法第２９条の３第４項）。</v>
          </cell>
          <cell r="M144" t="str">
            <v>見直しの余地があるもの</v>
          </cell>
          <cell r="N144" t="str">
            <v>一般競争入札等に移行するための準備に時間を要するもの（２２年度以降において公募実施）</v>
          </cell>
          <cell r="P144" t="str">
            <v>所管法×</v>
          </cell>
          <cell r="Q144" t="str">
            <v>法</v>
          </cell>
          <cell r="S144" t="str">
            <v>法21②</v>
          </cell>
          <cell r="T144" t="str">
            <v>法21②</v>
          </cell>
          <cell r="U144" t="str">
            <v>法</v>
          </cell>
          <cell r="Z144" t="str">
            <v>②</v>
          </cell>
          <cell r="AA144">
            <v>1700302</v>
          </cell>
          <cell r="AB144">
            <v>1</v>
          </cell>
          <cell r="AD144" t="str">
            <v>無指定</v>
          </cell>
          <cell r="AE144" t="str">
            <v>人</v>
          </cell>
          <cell r="AF144" t="str">
            <v>会計課調達室／サービス調達第１班</v>
          </cell>
          <cell r="AG144" t="str">
            <v>村松</v>
          </cell>
          <cell r="AI144" t="str">
            <v>20年度においては「公募」による選定も実施済み。
派遣員の任期が2年であるため、昨年度採用した派遣員関連業務については随契
(案件番号2000674　平成20年4月1日契約　436,442,965円）</v>
          </cell>
        </row>
        <row r="145">
          <cell r="A145" t="str">
            <v>法99</v>
          </cell>
          <cell r="B145">
            <v>99</v>
          </cell>
          <cell r="C145" t="str">
            <v>ｼｬﾀﾞﾝｺｸｻｲｺｳﾘｭｳ</v>
          </cell>
          <cell r="D145">
            <v>99</v>
          </cell>
          <cell r="F145" t="str">
            <v>社団法人　　国際交流サービス協会</v>
          </cell>
          <cell r="H145" t="str">
            <v>公邸料理人の紹介、派遣及び研修等の業務委嘱（※５件）</v>
          </cell>
          <cell r="I145" t="str">
            <v>外務省大臣官房
会計課長
上月豊久
東京都千代田区
霞が関２－２－１</v>
          </cell>
          <cell r="J145" t="str">
            <v>平成17/04/01</v>
          </cell>
          <cell r="K145">
            <v>70882632</v>
          </cell>
          <cell r="L145" t="str">
            <v>本事業は、質の高い料理人を随時紹介できる状態を保つ必要があり、料理業界との信頼関係を確立し、また、個々の料理人が在外公館の公邸における我が国の外交活動の一環としての公邸会食業務を遂行する能力があるか否か等に関する情報を蓄積していることが不可欠である。従って、これまで本件事業を実施してきた当該法人と契約する以外に選択肢はない（会計法第２９条の３第４項）。</v>
          </cell>
          <cell r="M145" t="str">
            <v>見直しの余地があるもの</v>
          </cell>
          <cell r="N145" t="str">
            <v>一般競争入札等に移行するための準備に時間を要するもの（１９年度以降において公募実施）</v>
          </cell>
          <cell r="O145" t="str">
            <v>全5件</v>
          </cell>
          <cell r="P145" t="str">
            <v>所管法×</v>
          </cell>
          <cell r="Q145" t="str">
            <v>法</v>
          </cell>
          <cell r="R145">
            <v>5</v>
          </cell>
          <cell r="S145" t="str">
            <v>法19②</v>
          </cell>
          <cell r="T145" t="str">
            <v>法19②</v>
          </cell>
          <cell r="U145" t="str">
            <v>法</v>
          </cell>
          <cell r="X145" t="str">
            <v>②</v>
          </cell>
          <cell r="AA145" t="str">
            <v>1700561                    他</v>
          </cell>
          <cell r="AB145">
            <v>1</v>
          </cell>
          <cell r="AD145" t="str">
            <v>無指定</v>
          </cell>
          <cell r="AE145" t="str">
            <v>在</v>
          </cell>
          <cell r="AF145" t="str">
            <v>会計課調達室／サービス調達第１班</v>
          </cell>
          <cell r="AG145" t="str">
            <v>竹澤</v>
          </cell>
        </row>
        <row r="146">
          <cell r="A146" t="str">
            <v>法104</v>
          </cell>
          <cell r="B146">
            <v>104</v>
          </cell>
          <cell r="C146" t="str">
            <v>ｼｬﾀﾞﾝｺｸｻｲｺｳﾘｭｳ</v>
          </cell>
          <cell r="D146">
            <v>104</v>
          </cell>
          <cell r="F146" t="str">
            <v>社団法人　　　国際交流サービス協会</v>
          </cell>
          <cell r="H146" t="str">
            <v>平成１７年度招へい事業接遇にかかる単価契約（２１世紀パートナーシップ招聘、オピニオンリーダー招聘）（※１８７件）</v>
          </cell>
          <cell r="I146" t="str">
            <v>外務省大臣官房
会計課長
上月豊久
東京都千代田区
霞が関２－２－１</v>
          </cell>
          <cell r="J146" t="str">
            <v>平成17/05/12</v>
          </cell>
          <cell r="K146">
            <v>484413500</v>
          </cell>
          <cell r="L146" t="str">
            <v>外務省の招聘事業については平成１５年度に指名競争入札を実施の上、業者を選定したが、経済性が優先された結果接遇の質が低下し、招聘事業の持つ外交上の効果が著しく損なわれる結果となった。そのため、特に外交的配慮を要する重要招聘事業については、当面の間、競争入札を実施することは不可能であるとの結論に至った。（社）国際交流サービス協会は、政府招待の外国人賓客に対し、来日から離日までの手配全般を一元的に管理した唯一無二の実績を有し、同協会の有するノウハウは他の者に代替不能（会計法第２９条の３第４項）。
（但し、平易な招聘案件については、既に一般競争入札等を実施している。）</v>
          </cell>
          <cell r="M146" t="str">
            <v>見直しの余地があるもの</v>
          </cell>
          <cell r="N146" t="str">
            <v>一般競争入札等に移行するための準備に時間を要するもの（但し、引き続き平成１８年度においても平易な招聘事業から順次競争入札へ移行していく）</v>
          </cell>
          <cell r="O146" t="str">
            <v>単価契約　　　　　全187件</v>
          </cell>
          <cell r="P146" t="str">
            <v>所管法×</v>
          </cell>
          <cell r="Q146" t="str">
            <v>法</v>
          </cell>
          <cell r="R146">
            <v>187</v>
          </cell>
          <cell r="S146" t="str">
            <v>法21①</v>
          </cell>
          <cell r="T146" t="str">
            <v>法21①</v>
          </cell>
          <cell r="U146" t="str">
            <v>法</v>
          </cell>
          <cell r="Z146" t="str">
            <v>①</v>
          </cell>
          <cell r="AA146" t="str">
            <v>1700660　　　他１</v>
          </cell>
          <cell r="AB146">
            <v>1</v>
          </cell>
          <cell r="AD146" t="str">
            <v>無指定</v>
          </cell>
          <cell r="AE146" t="str">
            <v>会</v>
          </cell>
          <cell r="AF146" t="str">
            <v>会計課調達室／サービス調達第２班</v>
          </cell>
          <cell r="AG146" t="str">
            <v>光山</v>
          </cell>
          <cell r="AI146" t="str">
            <v>本件は、外交的配慮を要する重要な招へい案件であり、その外交上の効果が損なわれないようにきめ細かな対応が求められる。また、受託者は、相手国等の都合により、訪日日程確定から事業実施までの準備期間が殆ど取れない中で多数の案件を同時に実施する能力を有する者でなければならないことから、同様事業において他の追随を許さない実績を有する同法人以外の選択肢はなく、他に競争を許さない。
ただし、引き続き、市場の変化を見極めつつ、競争性のある方式への移行を検討してまいりたい。</v>
          </cell>
          <cell r="AJ146" t="str">
            <v>市場の変化を見極めつつ検討
(21.01.26回答）
２１年度に公募に移行</v>
          </cell>
        </row>
        <row r="147">
          <cell r="A147" t="str">
            <v>法291</v>
          </cell>
          <cell r="B147">
            <v>291</v>
          </cell>
          <cell r="C147" t="str">
            <v>ｼｬﾀﾞﾝｺｸｻｲｺｳﾘｭｳ</v>
          </cell>
          <cell r="D147">
            <v>291</v>
          </cell>
          <cell r="F147" t="str">
            <v>社団法人　　国際交流サービス協会</v>
          </cell>
          <cell r="H147" t="str">
            <v>日・アラブ対話フォーラム・タスクグループにおける通訳委嘱</v>
          </cell>
          <cell r="I147" t="str">
            <v>外務省大臣官房
会計課長
上月豊久
東京都千代田区
霞が関２－２－１</v>
          </cell>
          <cell r="J147" t="str">
            <v>平成17/07/14</v>
          </cell>
          <cell r="K147">
            <v>2693210</v>
          </cell>
          <cell r="L147" t="str">
            <v>高度に専門的な英語の同時通訳という困難な業務の委嘱であるにも関わらず、我が方要人の本フォーラムへの参加が決定されてから、出発まで中２日しかなく、緊急の必要があったため随意契約したもの（会計法第２９条の３第４項）。</v>
          </cell>
          <cell r="M147" t="str">
            <v>見直しの余地があるもの</v>
          </cell>
          <cell r="N147" t="str">
            <v>１８年度において当該事務・事業の委託等を行う予定なし</v>
          </cell>
          <cell r="P147" t="str">
            <v>所管法×</v>
          </cell>
          <cell r="Q147" t="str">
            <v>法</v>
          </cell>
          <cell r="S147" t="str">
            <v>法18×</v>
          </cell>
          <cell r="T147" t="str">
            <v>法18×</v>
          </cell>
          <cell r="U147" t="str">
            <v>法</v>
          </cell>
          <cell r="W147" t="str">
            <v>×</v>
          </cell>
          <cell r="AA147">
            <v>1700913</v>
          </cell>
          <cell r="AB147">
            <v>1</v>
          </cell>
          <cell r="AC147" t="str">
            <v>17G537</v>
          </cell>
          <cell r="AD147" t="str">
            <v xml:space="preserve"> </v>
          </cell>
          <cell r="AE147" t="str">
            <v>中東１</v>
          </cell>
          <cell r="AF147" t="str">
            <v>会計課調達室／サービス調達第２班</v>
          </cell>
          <cell r="AG147" t="str">
            <v>和田</v>
          </cell>
        </row>
        <row r="148">
          <cell r="A148" t="str">
            <v>法292</v>
          </cell>
          <cell r="B148">
            <v>292</v>
          </cell>
          <cell r="C148" t="str">
            <v>ｼｬﾀﾞﾝｾｶｲｹｲｴｲ</v>
          </cell>
          <cell r="D148">
            <v>292</v>
          </cell>
          <cell r="F148" t="str">
            <v>社団法人　　世界経営協議会　</v>
          </cell>
          <cell r="H148" t="str">
            <v>ＯＤＡ評価「貧困削減に関する我が国ＯＤＡの評価」（企画招請）</v>
          </cell>
          <cell r="I148" t="str">
            <v>外務省大臣官房
会計課長
上月豊久
東京都千代田区
霞が関２－２－１</v>
          </cell>
          <cell r="J148" t="str">
            <v>平成17/08/17</v>
          </cell>
          <cell r="K148">
            <v>24322000</v>
          </cell>
          <cell r="L148"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48" t="str">
            <v>見直しの余地があるもの</v>
          </cell>
          <cell r="N148" t="str">
            <v>一般競争入札等に移行したもの（企画招請実施）</v>
          </cell>
          <cell r="P148" t="str">
            <v>所管法○</v>
          </cell>
          <cell r="Q148" t="str">
            <v>法</v>
          </cell>
          <cell r="R148" t="str">
            <v>○</v>
          </cell>
          <cell r="S148" t="str">
            <v>法18②</v>
          </cell>
          <cell r="T148" t="str">
            <v>法18②</v>
          </cell>
          <cell r="U148" t="str">
            <v>法</v>
          </cell>
          <cell r="W148" t="str">
            <v>②</v>
          </cell>
          <cell r="AA148">
            <v>1700892</v>
          </cell>
          <cell r="AB148">
            <v>1</v>
          </cell>
          <cell r="AC148" t="str">
            <v>17G612</v>
          </cell>
          <cell r="AD148" t="str">
            <v>取扱注意</v>
          </cell>
          <cell r="AE148" t="str">
            <v>経協計</v>
          </cell>
          <cell r="AF148" t="str">
            <v>会計課調達室／サービス調達第１班</v>
          </cell>
          <cell r="AG148" t="str">
            <v>村松</v>
          </cell>
        </row>
        <row r="149">
          <cell r="A149" t="str">
            <v>法293</v>
          </cell>
          <cell r="B149">
            <v>293</v>
          </cell>
          <cell r="C149" t="str">
            <v>ｼｬﾀﾞﾝﾎｯﾎﾟｳ</v>
          </cell>
          <cell r="D149">
            <v>293</v>
          </cell>
          <cell r="F149" t="str">
            <v>社団法人　
北方領土復帰期成同盟</v>
          </cell>
          <cell r="H149" t="str">
            <v>北方領土に関するインターネット啓発事業委嘱</v>
          </cell>
          <cell r="I149" t="str">
            <v>外務省大臣官房
会計課長
上月豊久
東京都千代田区
霞が関２－２－１</v>
          </cell>
          <cell r="J149" t="str">
            <v>平成17/04/01</v>
          </cell>
          <cell r="K149">
            <v>3662967</v>
          </cell>
          <cell r="L149" t="str">
            <v>　（社）北方領土復帰期成同盟（北方同盟）は、北方領土返還要求に関する国民世論の啓発と結集を図るとともに、我が国の正しい主張を広く国際世論に訴え平和的に北方領土の返還を促進することを目的として設置された団体である。北方同盟は、他の行政機関や民間団体と一体となって北方領土返還要求大会を組織しているほか、北方領土返還要求運動指導者を対象とした研修会等を行っており、当省から北方同盟に対して啓発事業を委託することにより、長年にわたり世論啓発運動に従事し専門知識・ノウハウを有する北方同盟を通じて効果的な啓発事業が実施</v>
          </cell>
          <cell r="M149" t="str">
            <v>その他のもの</v>
          </cell>
          <cell r="N149" t="str">
            <v>ー
（随意契約によらざるを得ないもの）</v>
          </cell>
          <cell r="P149" t="str">
            <v>所管法×</v>
          </cell>
          <cell r="Q149" t="str">
            <v>法</v>
          </cell>
          <cell r="S149" t="str">
            <v>法1</v>
          </cell>
          <cell r="T149" t="str">
            <v>法1</v>
          </cell>
          <cell r="U149" t="str">
            <v>法</v>
          </cell>
          <cell r="V149" t="str">
            <v>●</v>
          </cell>
          <cell r="AA149">
            <v>1700430</v>
          </cell>
          <cell r="AB149">
            <v>1</v>
          </cell>
          <cell r="AC149" t="str">
            <v>17G015</v>
          </cell>
          <cell r="AD149" t="str">
            <v>無指定</v>
          </cell>
          <cell r="AE149" t="str">
            <v>欧ロ</v>
          </cell>
          <cell r="AF149" t="str">
            <v>会計課調達室／サービス調達第１班</v>
          </cell>
          <cell r="AG149" t="str">
            <v>村松</v>
          </cell>
        </row>
        <row r="150">
          <cell r="A150" t="str">
            <v>法294</v>
          </cell>
          <cell r="B150">
            <v>294</v>
          </cell>
          <cell r="C150" t="str">
            <v>ｼｬﾀﾞﾝﾎｯﾎﾟｳ</v>
          </cell>
          <cell r="D150">
            <v>294</v>
          </cell>
          <cell r="F150" t="str">
            <v>社団法人　
北方領土復帰期成同盟</v>
          </cell>
          <cell r="H150" t="str">
            <v>「元島民の北方領土を語る会」事業委嘱</v>
          </cell>
          <cell r="I150" t="str">
            <v>外務省大臣官房
会計課長
上月豊久
東京都千代田区
霞が関２－２－１</v>
          </cell>
          <cell r="J150" t="str">
            <v>平成17/06/10</v>
          </cell>
          <cell r="K150">
            <v>3434846</v>
          </cell>
          <cell r="L150" t="str">
            <v>　北方同盟は、北方領土返還要求に関する国民世論の啓発と結集を図るとともに、我が国の正しい主張を広く国際世論に訴え平和的に北方領土の返還を促進することを目的として設置された団体である。北方同盟は、他の行政機関や民間団体と一体となって北方領土返還要求大会を組織しているほか、北方領土返還要求運動指導者を対象とした研修会等を行っており、当省から北方同盟に対して啓発事業を委託することにより、長年にわたり世論啓発運動に従事し専門知識・ノウハウを有する北方同盟を通じて効果的な啓発事業が実施できるのみならず、根室市や千島</v>
          </cell>
          <cell r="M150" t="str">
            <v>その他のもの</v>
          </cell>
          <cell r="N150" t="str">
            <v>ー
（随意契約によらざるを得ないもの）</v>
          </cell>
          <cell r="P150" t="str">
            <v>所管法×</v>
          </cell>
          <cell r="Q150" t="str">
            <v>法</v>
          </cell>
          <cell r="S150" t="str">
            <v>法1</v>
          </cell>
          <cell r="T150" t="str">
            <v>法1</v>
          </cell>
          <cell r="U150" t="str">
            <v>法</v>
          </cell>
          <cell r="V150" t="str">
            <v>●</v>
          </cell>
          <cell r="AA150">
            <v>1700813</v>
          </cell>
          <cell r="AB150">
            <v>1</v>
          </cell>
          <cell r="AC150" t="str">
            <v>17G380</v>
          </cell>
          <cell r="AD150" t="str">
            <v>無指定</v>
          </cell>
          <cell r="AE150" t="str">
            <v>欧ロ</v>
          </cell>
          <cell r="AF150" t="str">
            <v>会計課調達室／サービス調達第１班</v>
          </cell>
          <cell r="AG150" t="str">
            <v>村松</v>
          </cell>
          <cell r="AI150" t="str">
            <v>行政目的を達成するために不可欠な業務を提供することが可能な者から提供を受けるもの</v>
          </cell>
          <cell r="AJ150" t="str">
            <v>ニ（ヘ）
に準ずる</v>
          </cell>
        </row>
        <row r="151">
          <cell r="A151" t="str">
            <v>法295</v>
          </cell>
          <cell r="B151">
            <v>295</v>
          </cell>
          <cell r="C151" t="str">
            <v>ｼｬﾀﾞﾝｺｸｻｲﾌﾚ</v>
          </cell>
          <cell r="D151">
            <v>295</v>
          </cell>
          <cell r="F151" t="str">
            <v>社団法人　
国際フレンドシップ協会</v>
          </cell>
          <cell r="H151" t="str">
            <v>中国及びアジア諸国プレス対策強化事業（企画招請）</v>
          </cell>
          <cell r="I151" t="str">
            <v>外務省大臣官房
会計課長
上月豊久
東京都千代田区
霞が関２－２－１</v>
          </cell>
          <cell r="J151" t="str">
            <v>平成17/08/31</v>
          </cell>
          <cell r="K151">
            <v>9426377</v>
          </cell>
          <cell r="L151" t="str">
            <v>公示の上、資料提供企画招請を行い、提出された企画書審査及びヒアリングを通じて、企画内容・見積額等総合的に判断し最も優れた企画を提出した本機関に業務委嘱したもの（会計法第２９条の３第４項）。</v>
          </cell>
          <cell r="M151" t="str">
            <v>見直しの余地があるもの</v>
          </cell>
          <cell r="N151" t="str">
            <v>一般競争入札等に移行したもの（企画招請実施）</v>
          </cell>
          <cell r="P151" t="str">
            <v>所管法○</v>
          </cell>
          <cell r="Q151" t="str">
            <v>法</v>
          </cell>
          <cell r="R151" t="str">
            <v>○</v>
          </cell>
          <cell r="S151" t="str">
            <v>法18②</v>
          </cell>
          <cell r="T151" t="str">
            <v>法18②</v>
          </cell>
          <cell r="U151" t="str">
            <v>法</v>
          </cell>
          <cell r="W151" t="str">
            <v>②</v>
          </cell>
          <cell r="AA151">
            <v>1701097</v>
          </cell>
          <cell r="AB151">
            <v>1</v>
          </cell>
          <cell r="AC151" t="str">
            <v>17G542</v>
          </cell>
          <cell r="AD151" t="str">
            <v xml:space="preserve"> </v>
          </cell>
          <cell r="AE151" t="str">
            <v>報際</v>
          </cell>
          <cell r="AF151" t="str">
            <v>会計課調達室／サービス調達第２班</v>
          </cell>
          <cell r="AG151" t="str">
            <v>荒井</v>
          </cell>
        </row>
        <row r="152">
          <cell r="A152" t="str">
            <v>法296</v>
          </cell>
          <cell r="B152">
            <v>296</v>
          </cell>
          <cell r="C152" t="str">
            <v>ｼｬﾀﾞﾝﾆﾎﾝｶﾞｲｺｳ</v>
          </cell>
          <cell r="D152">
            <v>296</v>
          </cell>
          <cell r="F152" t="str">
            <v>社団法人　
日本外交協会</v>
          </cell>
          <cell r="H152" t="str">
            <v>平成１７年度「海外安全情報検索システム」管理・運営業務の委託契約</v>
          </cell>
          <cell r="I152" t="str">
            <v>外務省大臣官房
会計課長
上月豊久
東京都千代田区
霞が関２－２－１</v>
          </cell>
          <cell r="J152" t="str">
            <v>平成17/04/01</v>
          </cell>
          <cell r="K152">
            <v>5393157</v>
          </cell>
          <cell r="L152" t="str">
            <v>同協会は本システム開発に携わっておりプログラムの内容を熟知していることから、本システムの管理・運営を安全かつ効率的に実施できる（会計法２９条の３第４項）</v>
          </cell>
          <cell r="M152" t="str">
            <v>見直しの余地があるもの</v>
          </cell>
          <cell r="N152" t="str">
            <v>１８年度において当該事務・事業の委託等を行う予定なし</v>
          </cell>
          <cell r="P152" t="str">
            <v>所管法×</v>
          </cell>
          <cell r="Q152" t="str">
            <v>法</v>
          </cell>
          <cell r="S152" t="str">
            <v>法18×</v>
          </cell>
          <cell r="T152" t="str">
            <v>法18×</v>
          </cell>
          <cell r="U152" t="str">
            <v>法</v>
          </cell>
          <cell r="W152" t="str">
            <v>×</v>
          </cell>
          <cell r="AA152">
            <v>1700313</v>
          </cell>
          <cell r="AB152">
            <v>1</v>
          </cell>
          <cell r="AD152" t="str">
            <v>無指定</v>
          </cell>
          <cell r="AE152" t="str">
            <v>領安</v>
          </cell>
          <cell r="AF152" t="str">
            <v>会計課調達室／サービス調達第１班</v>
          </cell>
          <cell r="AG152" t="str">
            <v>村松</v>
          </cell>
        </row>
        <row r="153">
          <cell r="A153" t="str">
            <v>法297</v>
          </cell>
          <cell r="B153">
            <v>297</v>
          </cell>
          <cell r="C153" t="str">
            <v>ｿｳｺﾞｳｹｲﾋﾞ</v>
          </cell>
          <cell r="D153">
            <v>297</v>
          </cell>
          <cell r="F153" t="str">
            <v>綜合警備保障株式会社</v>
          </cell>
          <cell r="H153" t="str">
            <v>麻布台別館機械警備業務委託契約</v>
          </cell>
          <cell r="I153" t="str">
            <v>外務省大臣官房
会計課長
上月豊久
東京都千代田区
霞が関２－２－１</v>
          </cell>
          <cell r="J153" t="str">
            <v>平成17/04/01</v>
          </cell>
          <cell r="K153">
            <v>1108800</v>
          </cell>
          <cell r="L153" t="str">
            <v>全てのシステムは、同社が独自に開発施行しており、代替性が無く、その運用は設置業者のみ可能．他の業者が行うとすれば現システムの撤去、新システムの工事が別途必要となり経済性、効率性に問題が大なるものとなる（会計法第２９条の３第４項）。</v>
          </cell>
          <cell r="M153" t="str">
            <v>見直しの余地があるもの</v>
          </cell>
          <cell r="N153" t="str">
            <v>一般競争入札等に移行するための準備に時間を要するもの（現時点では時期未定であるが、システムの更新時において一般競争入札実施）</v>
          </cell>
          <cell r="P153" t="str">
            <v>法×</v>
          </cell>
          <cell r="Q153" t="str">
            <v>法</v>
          </cell>
          <cell r="S153" t="str">
            <v>法21①</v>
          </cell>
          <cell r="U153" t="str">
            <v>法</v>
          </cell>
          <cell r="Z153" t="str">
            <v>①</v>
          </cell>
          <cell r="AA153">
            <v>1700172</v>
          </cell>
          <cell r="AB153">
            <v>1</v>
          </cell>
          <cell r="AC153" t="str">
            <v>17W109</v>
          </cell>
          <cell r="AD153" t="str">
            <v>無指定</v>
          </cell>
          <cell r="AE153" t="str">
            <v>会</v>
          </cell>
          <cell r="AF153" t="str">
            <v>会計課調達室／政府調達班</v>
          </cell>
          <cell r="AG153" t="str">
            <v>風戸</v>
          </cell>
          <cell r="AI153" t="str">
            <v>平成20年度はTICAD　Ⅳ及びサミット等のため、テロに対する厳重な警備が必要であり、省員及び来客の生命の安全を確保するために、外務本省（及び関連施設）の警備に精通している警備会社に警備を遂行させる必要があったため。</v>
          </cell>
          <cell r="AJ153" t="str">
            <v>平成21年度</v>
          </cell>
        </row>
        <row r="154">
          <cell r="A154" t="str">
            <v>法298</v>
          </cell>
          <cell r="B154">
            <v>298</v>
          </cell>
          <cell r="C154" t="str">
            <v>ｿｳｺﾞｳｹｲﾋﾞ</v>
          </cell>
          <cell r="D154">
            <v>298</v>
          </cell>
          <cell r="F154" t="str">
            <v>綜合警備保障　
株式会社</v>
          </cell>
          <cell r="H154" t="str">
            <v>平成１７年度研修所機械警備システム請負契約</v>
          </cell>
          <cell r="I154" t="str">
            <v>外務省大臣官房
会計課長
上月豊久
東京都千代田区
霞が関２－２－１</v>
          </cell>
          <cell r="J154" t="str">
            <v>平成17/04/01</v>
          </cell>
          <cell r="K154">
            <v>3095820</v>
          </cell>
          <cell r="L154" t="str">
            <v>全てのシステムは、同社が独自に開発施行しており、代替性が無く、その運用は設置業者のみ可能．他の業者が行うとすれば現システムの撤去、新システムの工事が別途必要となり経済性、効率性に問題が大なるものとなる（会計法第２９条の３第４項）。</v>
          </cell>
          <cell r="M154" t="str">
            <v>見直しの余地があるもの</v>
          </cell>
          <cell r="N154" t="str">
            <v>一般競争入札等に移行するための準備に時間を要するもの（現時点では時期未定であるが、システムの更新時において一般競争入札実施）</v>
          </cell>
          <cell r="P154" t="str">
            <v>法×</v>
          </cell>
          <cell r="Q154" t="str">
            <v>法</v>
          </cell>
          <cell r="S154" t="str">
            <v>法21①</v>
          </cell>
          <cell r="U154" t="str">
            <v>法</v>
          </cell>
          <cell r="Z154" t="str">
            <v>①</v>
          </cell>
          <cell r="AA154">
            <v>1700168</v>
          </cell>
          <cell r="AB154">
            <v>1</v>
          </cell>
          <cell r="AC154" t="str">
            <v>17W036</v>
          </cell>
          <cell r="AD154" t="str">
            <v>無指定</v>
          </cell>
          <cell r="AE154" t="str">
            <v>外研</v>
          </cell>
          <cell r="AF154" t="str">
            <v>会計課調達室／政府調達班</v>
          </cell>
          <cell r="AG154" t="str">
            <v>風戸</v>
          </cell>
          <cell r="AI154" t="str">
            <v>本件機器等は、本件契約先が独自に開発・施工しているため、代替性がなくまた、当該機器等の運用等が可能な業者は、本契約の相手方の他にないことから、契約の移行時期については機器等の入替時に行う以外ないが、機器等の入替については莫大な経費が必要となる。
現機器等が現在のところ不具合なく稼働していることから、新たな機器等を導入するために莫大な経費をかける必要性がない。
また、21年度から実施の市場化ﾃｽﾄ導入のための業務統合の検討を行っており本件も対象としていることから、20年度1年間だけのために莫大な経費を投入することは不経済かつ不合理であるため。
（H21.1.26調査回答）
平成21年度より、設備管理業務が「市場化テスト」の対象となり、業務統合の上入札を行うことになった。本件についても、業務統合の一部として検討されていたが、業務統合対象外と判断されたために必要となる予算措置が２１年度においてはできていないことから、実施が困難である。</v>
          </cell>
          <cell r="AJ154" t="str">
            <v xml:space="preserve">平成21年度
設備管理業務が「市場化ﾃｽﾄ」のたいしょうとなり、平成21年度より設備管理業務全体を見直した包括契約に移行する
（H21.1.26調査回答）
平成22年度
</v>
          </cell>
        </row>
        <row r="155">
          <cell r="A155" t="str">
            <v>法299</v>
          </cell>
          <cell r="B155">
            <v>299</v>
          </cell>
          <cell r="C155" t="str">
            <v>ｴﾇｲｰｼｰﾘｰｽ</v>
          </cell>
          <cell r="D155">
            <v>299</v>
          </cell>
          <cell r="F155" t="str">
            <v>エヌイーシーリース株式会社／日本電気株式会社</v>
          </cell>
          <cell r="H155" t="str">
            <v>パソコン・プリンタの賃貸借</v>
          </cell>
          <cell r="I155" t="str">
            <v>外務省大臣官房
会計課長
上月豊久
東京都千代田区
霞が関２－２－１</v>
          </cell>
          <cell r="J155" t="str">
            <v>平成17/04/01</v>
          </cell>
          <cell r="K155">
            <v>302441045</v>
          </cell>
          <cell r="L155" t="str">
            <v>平成１３年度に一般競争入札（賃貸借期間４年。但し、契約自体は単年度）で導入したパソコンの賃貸借継続（会計法第２９条.の３第４項）。</v>
          </cell>
          <cell r="M155" t="str">
            <v>見直しの余地があるもの</v>
          </cell>
          <cell r="N155" t="str">
            <v>１８年度において当該事務・事業の委託等を行う予定なし</v>
          </cell>
          <cell r="P155" t="str">
            <v>法×</v>
          </cell>
          <cell r="Q155" t="str">
            <v>法</v>
          </cell>
          <cell r="S155" t="str">
            <v>法18×</v>
          </cell>
          <cell r="U155" t="str">
            <v>法</v>
          </cell>
          <cell r="W155" t="str">
            <v>×</v>
          </cell>
          <cell r="AA155">
            <v>1700029</v>
          </cell>
          <cell r="AB155">
            <v>1</v>
          </cell>
          <cell r="AC155" t="str">
            <v>17W013</v>
          </cell>
          <cell r="AD155" t="str">
            <v>無指定</v>
          </cell>
          <cell r="AE155" t="str">
            <v>官情</v>
          </cell>
          <cell r="AF155" t="str">
            <v>会計課調達室／サービス調達第３班</v>
          </cell>
          <cell r="AG155" t="str">
            <v>川上</v>
          </cell>
        </row>
        <row r="156">
          <cell r="A156" t="str">
            <v>法300</v>
          </cell>
          <cell r="B156">
            <v>300</v>
          </cell>
          <cell r="C156" t="str">
            <v>ｴﾇｲｰｼｰﾘｰｽ</v>
          </cell>
          <cell r="D156">
            <v>300</v>
          </cell>
          <cell r="F156" t="str">
            <v>エヌイーシーリース株式会社／
日本電気株式会社</v>
          </cell>
          <cell r="H156" t="str">
            <v>在外経理システム用機器一式の賃貸借</v>
          </cell>
          <cell r="I156" t="str">
            <v>外務省大臣官房
会計課長
上月豊久
東京都千代田区
霞が関２－２－１</v>
          </cell>
          <cell r="J156" t="str">
            <v>平成17/04/01</v>
          </cell>
          <cell r="K156">
            <v>24643356</v>
          </cell>
          <cell r="L156" t="str">
            <v>平成１４年度に一般競争入札（賃貸借期間４年。但し、契約自体は単年度）で導入した在外経理用機器一式の継続契約（会計法第２９条の３第４項）。</v>
          </cell>
          <cell r="M156" t="str">
            <v>見直しの余地があるもの</v>
          </cell>
          <cell r="N156" t="str">
            <v>一般競争入札等に移行するための準備に時間を要するもの（１９年度以降において一般競争入札実施）</v>
          </cell>
          <cell r="P156" t="str">
            <v>法×</v>
          </cell>
          <cell r="Q156" t="str">
            <v>法</v>
          </cell>
          <cell r="S156" t="str">
            <v>法19①</v>
          </cell>
          <cell r="U156" t="str">
            <v>法</v>
          </cell>
          <cell r="X156" t="str">
            <v>①</v>
          </cell>
          <cell r="AA156">
            <v>1700032</v>
          </cell>
          <cell r="AB156">
            <v>2</v>
          </cell>
          <cell r="AC156" t="str">
            <v>17Z006</v>
          </cell>
          <cell r="AD156" t="str">
            <v>無指定</v>
          </cell>
          <cell r="AE156" t="str">
            <v>官情</v>
          </cell>
          <cell r="AF156" t="str">
            <v>会計課調達室／サービス調達第３班</v>
          </cell>
          <cell r="AG156" t="str">
            <v>川上</v>
          </cell>
        </row>
        <row r="157">
          <cell r="A157" t="str">
            <v>法301</v>
          </cell>
          <cell r="B157">
            <v>301</v>
          </cell>
          <cell r="C157" t="str">
            <v>ｴﾇｲｰｼｰﾘｰｽ</v>
          </cell>
          <cell r="D157">
            <v>301</v>
          </cell>
          <cell r="F157" t="str">
            <v>エヌイーシーリース株式会社／
日本電気株式会社</v>
          </cell>
          <cell r="H157" t="str">
            <v>「外務省における電子政府共通基盤」の整備、賃貸借、保守及び運用管理</v>
          </cell>
          <cell r="I157" t="str">
            <v>外務省大臣官房
会計課長
上月豊久
東京都千代田区
霞が関２－２－１</v>
          </cell>
          <cell r="J157" t="str">
            <v>平成17/04/01</v>
          </cell>
          <cell r="K157">
            <v>47218500</v>
          </cell>
          <cell r="L157" t="str">
            <v>平成１４年度に一般競争入札（賃貸借期間４年。但し、契約自体は単年度）にて調達した「電子政府共通基盤」の整備及び賃貸借、保守、運用の継続契約（会計法第２９条の３第４項）。</v>
          </cell>
          <cell r="M157" t="str">
            <v>見直しの余地があるもの</v>
          </cell>
          <cell r="N157" t="str">
            <v>一般競争入札等に移行するための準備に時間を要するもの（１９年度以降において一般競争入札実施）</v>
          </cell>
          <cell r="P157" t="str">
            <v>法×</v>
          </cell>
          <cell r="Q157" t="str">
            <v>法</v>
          </cell>
          <cell r="S157" t="str">
            <v>法19①</v>
          </cell>
          <cell r="U157" t="str">
            <v>法</v>
          </cell>
          <cell r="X157" t="str">
            <v>①</v>
          </cell>
          <cell r="AA157">
            <v>1700068</v>
          </cell>
          <cell r="AB157">
            <v>1</v>
          </cell>
          <cell r="AC157" t="str">
            <v>17W182</v>
          </cell>
          <cell r="AD157" t="str">
            <v>無指定</v>
          </cell>
          <cell r="AE157" t="str">
            <v>官情</v>
          </cell>
          <cell r="AF157" t="str">
            <v>会計課調達室／サービス調達第３班</v>
          </cell>
          <cell r="AG157" t="str">
            <v>西村</v>
          </cell>
        </row>
        <row r="158">
          <cell r="A158" t="str">
            <v>法302</v>
          </cell>
          <cell r="B158">
            <v>302</v>
          </cell>
          <cell r="C158" t="str">
            <v>ｴﾇｲｰｼｰﾘｰｽ</v>
          </cell>
          <cell r="D158">
            <v>302</v>
          </cell>
          <cell r="F158" t="str">
            <v>エヌイーシーリース株式会社／日本電気株式会社</v>
          </cell>
          <cell r="H158" t="str">
            <v>「外務省における電子政府共通基盤検証システム（一式）にかかる賃貸借契約（単価契約含む）</v>
          </cell>
          <cell r="I158" t="str">
            <v>外務省大臣官房
会計課長
上月豊久
東京都千代田区
霞が関２－２－１</v>
          </cell>
          <cell r="J158" t="str">
            <v>平成17/04/01</v>
          </cell>
          <cell r="K158">
            <v>28596388</v>
          </cell>
          <cell r="L158" t="str">
            <v>一般競争入札により調達されたシステムの検証用であり、右業務システムを一般競争入札で落札し、開発・構築した会社により、必要最小限のシステムとして別途構築されたものであるため、同社より借り受けする以外目的を達し得ない（会計法第２９条の３第４項）。</v>
          </cell>
          <cell r="M158" t="str">
            <v>見直しの余地があるもの</v>
          </cell>
          <cell r="N158" t="str">
            <v>一般競争入札等に移行するための準備に時間を要するもの（１９年度以降において一般競争入札実施）</v>
          </cell>
          <cell r="O158" t="str">
            <v>単価契約分2,992,500</v>
          </cell>
          <cell r="P158" t="str">
            <v>法×</v>
          </cell>
          <cell r="Q158" t="str">
            <v>法</v>
          </cell>
          <cell r="S158" t="str">
            <v>法19①</v>
          </cell>
          <cell r="U158" t="str">
            <v>法</v>
          </cell>
          <cell r="X158" t="str">
            <v>①</v>
          </cell>
          <cell r="AA158">
            <v>1700038</v>
          </cell>
          <cell r="AB158">
            <v>1</v>
          </cell>
          <cell r="AC158" t="str">
            <v>17W025</v>
          </cell>
          <cell r="AD158" t="str">
            <v>無指定</v>
          </cell>
          <cell r="AE158" t="str">
            <v>官情</v>
          </cell>
          <cell r="AF158" t="str">
            <v>会計課調達室／サービス調達第３班</v>
          </cell>
          <cell r="AG158" t="str">
            <v>川上</v>
          </cell>
        </row>
        <row r="159">
          <cell r="A159" t="str">
            <v>法303</v>
          </cell>
          <cell r="B159">
            <v>303</v>
          </cell>
          <cell r="C159" t="str">
            <v>ﾆﾎﾝﾃﾞﾝｷｶﾌﾞ</v>
          </cell>
          <cell r="D159">
            <v>303</v>
          </cell>
          <cell r="F159" t="str">
            <v>日本電気
株式会社</v>
          </cell>
          <cell r="G159" t="str">
            <v>東京都港区芝５－７－１</v>
          </cell>
          <cell r="H159" t="str">
            <v>平成１７年度在外公館ホームページ専用サーバ維持管理契約締結</v>
          </cell>
          <cell r="I159" t="str">
            <v>外務省大臣官房
会計課長
上月豊久
東京都千代田区
霞が関２－２－１</v>
          </cell>
          <cell r="J159" t="str">
            <v>平成17/04/01</v>
          </cell>
          <cell r="K159">
            <v>21275625</v>
          </cell>
          <cell r="L159" t="str">
            <v>企画招請の結果、本システムの開発と維持管理を委託した同社と、引き続き維持管理契約を行うもの。業務に不可欠なサーバーの維持管理であり、高度の安定性を実現するためシステムの管理者と契約することが不可欠（会計法第２９条の３第４項）。</v>
          </cell>
          <cell r="M159" t="str">
            <v>見直しの余地があるもの</v>
          </cell>
          <cell r="N159" t="str">
            <v>一般競争入札等に移行するための準備に時間を要するもの（１９年度以降において一般競争入札実施）</v>
          </cell>
          <cell r="P159" t="str">
            <v>法×</v>
          </cell>
          <cell r="Q159" t="str">
            <v>法</v>
          </cell>
          <cell r="S159" t="str">
            <v>法19①</v>
          </cell>
          <cell r="U159" t="str">
            <v>法</v>
          </cell>
          <cell r="X159" t="str">
            <v>①</v>
          </cell>
          <cell r="AA159">
            <v>1700413</v>
          </cell>
          <cell r="AB159">
            <v>1</v>
          </cell>
          <cell r="AD159" t="str">
            <v>無指定</v>
          </cell>
          <cell r="AE159" t="str">
            <v>広文総</v>
          </cell>
          <cell r="AF159" t="str">
            <v>会計課調達室／サービス調達第１班</v>
          </cell>
          <cell r="AG159" t="str">
            <v>村松</v>
          </cell>
        </row>
        <row r="160">
          <cell r="A160" t="str">
            <v>法304</v>
          </cell>
          <cell r="B160">
            <v>304</v>
          </cell>
          <cell r="C160" t="str">
            <v>ﾆﾎﾝﾃﾞﾝｷｶﾌﾞ</v>
          </cell>
          <cell r="D160">
            <v>304</v>
          </cell>
          <cell r="F160" t="str">
            <v>日本電気　　株式会社</v>
          </cell>
          <cell r="H160" t="str">
            <v>平成１７年度「国際社会協力人材バンクシステム」コンテンツ等修正・作成・更新作業（単価契約）</v>
          </cell>
          <cell r="I160" t="str">
            <v>外務省大臣官房
会計課長
上月豊久
東京都千代田区
霞が関２－２－１</v>
          </cell>
          <cell r="J160" t="str">
            <v>平成17/04/01</v>
          </cell>
          <cell r="K160">
            <v>4082400</v>
          </cell>
          <cell r="L160" t="str">
            <v>国際社会協力人材バンクシステムセキュリテイーシステムを開発、構築した同社とコンテンツの修正、作成、更新の継続契約をするもの。業務に不可欠なシステムの維持管理であり、高度の安定性を実現するためシステムの管理者と契約することが不可欠（会計法第２９条の３第４項）。</v>
          </cell>
          <cell r="M160" t="str">
            <v>見直しの余地があるもの</v>
          </cell>
          <cell r="N160" t="str">
            <v>一般競争入札等に移行するための準備に時間を要するもの（現時点では時期未定であるが、システムの更新時において一般競争入札実施）</v>
          </cell>
          <cell r="O160" t="str">
            <v>単価契約</v>
          </cell>
          <cell r="P160" t="str">
            <v>法×</v>
          </cell>
          <cell r="Q160" t="str">
            <v>法</v>
          </cell>
          <cell r="S160" t="str">
            <v>法21①</v>
          </cell>
          <cell r="U160" t="str">
            <v>法</v>
          </cell>
          <cell r="Z160" t="str">
            <v>①</v>
          </cell>
          <cell r="AA160">
            <v>1700026</v>
          </cell>
          <cell r="AB160">
            <v>1</v>
          </cell>
          <cell r="AC160" t="str">
            <v>17W101</v>
          </cell>
          <cell r="AD160" t="str">
            <v>無指定</v>
          </cell>
          <cell r="AE160" t="str">
            <v>国組</v>
          </cell>
          <cell r="AF160" t="str">
            <v>会計課調達室／サービス調達第３班</v>
          </cell>
          <cell r="AG160" t="str">
            <v>川上</v>
          </cell>
        </row>
        <row r="161">
          <cell r="A161" t="str">
            <v>法305</v>
          </cell>
          <cell r="B161">
            <v>305</v>
          </cell>
          <cell r="C161" t="str">
            <v>ﾆﾎﾝﾃﾞﾝｷｶﾌﾞ</v>
          </cell>
          <cell r="D161">
            <v>305</v>
          </cell>
          <cell r="F161" t="str">
            <v>日本電気　　株式会社</v>
          </cell>
          <cell r="H161" t="str">
            <v>平成１７年度「在留邦人向けメールマガジン配信システム」運用・保守契約</v>
          </cell>
          <cell r="I161" t="str">
            <v>外務省大臣官房
会計課長
上月豊久
東京都千代田区
霞が関２－２－１</v>
          </cell>
          <cell r="J161" t="str">
            <v>平成17/04/01</v>
          </cell>
          <cell r="K161">
            <v>10455480</v>
          </cell>
          <cell r="L161" t="str">
            <v>システム開発とシステムの運用並びにサーバ機器の購入を一括で行っており、運用・保守のみを切り離すことは不可能。また、業務に不可欠なシステムの維持管理であり、高度の安定性を実現するためシステムの管理者と契約することが不可欠（会計法第２９条の３第４項）。</v>
          </cell>
          <cell r="M161" t="str">
            <v>見直しの余地があるもの</v>
          </cell>
          <cell r="N161" t="str">
            <v>一般競争入札等に移行するための準備に時間を要するもの（平成２１～２２年度に更新を予定しており、その時点で一般競争入札実施）</v>
          </cell>
          <cell r="P161" t="str">
            <v>法×</v>
          </cell>
          <cell r="Q161" t="str">
            <v>法</v>
          </cell>
          <cell r="S161" t="str">
            <v>法21①</v>
          </cell>
          <cell r="U161" t="str">
            <v>法</v>
          </cell>
          <cell r="Z161" t="str">
            <v>①</v>
          </cell>
          <cell r="AA161">
            <v>1700024</v>
          </cell>
          <cell r="AB161">
            <v>1</v>
          </cell>
          <cell r="AC161" t="str">
            <v>17W475</v>
          </cell>
          <cell r="AD161" t="str">
            <v>無指定</v>
          </cell>
          <cell r="AE161" t="str">
            <v>領政</v>
          </cell>
          <cell r="AF161" t="str">
            <v>会計課調達室／サービス調達第３班</v>
          </cell>
          <cell r="AG161" t="str">
            <v>西村</v>
          </cell>
          <cell r="AI161" t="str">
            <v>平成２０年度中（２１年２月）にシステムを稼働させる機器を入れ換える予定であったため（２１年２月に公募を実施予定）
（H21.1.26調査回答）
平成20年12月に運用保守業務委嘱の公募を行った。</v>
          </cell>
          <cell r="AJ161" t="str">
            <v>平成２１年２月
公募予定
（H21.1.26調査回答）
平成２０年１２月
公募実施済</v>
          </cell>
        </row>
        <row r="162">
          <cell r="A162" t="str">
            <v>法306</v>
          </cell>
          <cell r="B162">
            <v>306</v>
          </cell>
          <cell r="C162" t="str">
            <v>ﾆﾎﾝﾃﾞﾝｷｶﾌﾞ</v>
          </cell>
          <cell r="D162">
            <v>306</v>
          </cell>
          <cell r="F162" t="str">
            <v>日本電気
株式会社</v>
          </cell>
          <cell r="H162" t="str">
            <v>国際協力人材バンクシステムの機能改善</v>
          </cell>
          <cell r="I162" t="str">
            <v>外務省大臣官房
会計課長
上月豊久
東京都千代田区
霞が関２－２－１</v>
          </cell>
          <cell r="J162" t="str">
            <v>平成18/02/14</v>
          </cell>
          <cell r="K162">
            <v>2219700</v>
          </cell>
          <cell r="L162" t="str">
            <v>本システム一式は、一般競争入札により調達したものであり、今回の「セキュリテイー強化・ロスター登録・検索・出力」についても同システムの開発者である（株）日本電気と随意契約することが必要（会計法２９条の３第４項）。</v>
          </cell>
          <cell r="M162" t="str">
            <v>見直しの余地があるもの</v>
          </cell>
          <cell r="N162" t="str">
            <v>一般競争入札等に移行するための準備に時間を要するもの（現時点では時期未定であるが、システムの更新時において一般競争入札実施）</v>
          </cell>
          <cell r="P162" t="str">
            <v>法×</v>
          </cell>
          <cell r="Q162" t="str">
            <v>法</v>
          </cell>
          <cell r="S162" t="str">
            <v>法21①</v>
          </cell>
          <cell r="U162" t="str">
            <v>法</v>
          </cell>
          <cell r="Z162" t="str">
            <v>①</v>
          </cell>
          <cell r="AA162">
            <v>1701541</v>
          </cell>
          <cell r="AB162">
            <v>1</v>
          </cell>
          <cell r="AC162" t="str">
            <v>17W626</v>
          </cell>
          <cell r="AD162" t="str">
            <v>無指定</v>
          </cell>
          <cell r="AE162" t="str">
            <v>国政</v>
          </cell>
          <cell r="AF162" t="str">
            <v>会計課調達室／サービス調達第３班</v>
          </cell>
          <cell r="AG162" t="str">
            <v>川畑</v>
          </cell>
        </row>
        <row r="163">
          <cell r="A163" t="str">
            <v>民1</v>
          </cell>
          <cell r="B163">
            <v>307</v>
          </cell>
          <cell r="C163" t="str">
            <v>ﾚｲﾃﾞﾝ</v>
          </cell>
          <cell r="E163">
            <v>1</v>
          </cell>
          <cell r="F163" t="str">
            <v>レイデンリサーチ株式会社</v>
          </cell>
          <cell r="G163" t="str">
            <v>東京都千代田区有楽町１－７－１</v>
          </cell>
          <cell r="H163" t="str">
            <v>ＥＩＵ社発行「Ｃｏｕｎｔｒｙ Ｒｅｐｏｒｔ ＆ Ｐｒｏｆｉｌｅｓ」及び「Ｃｏｕｎｔｒｙ Ｆｏｒｅｃａｓｔ Ｒｅｇｉｏｎａｌ Overview」購読契約</v>
          </cell>
          <cell r="I163" t="str">
            <v>外務省大臣官房会計課長　上月豊久　東京都千代田区霞が関２－２－１</v>
          </cell>
          <cell r="J163">
            <v>38443</v>
          </cell>
          <cell r="K163">
            <v>1871100</v>
          </cell>
          <cell r="L163" t="str">
            <v>同社が開設しているウェブ・サイト上の情報にアクセスするための契約であり、他に競争を許さない（会計法第２９条の３第４項）。</v>
          </cell>
          <cell r="M163" t="str">
            <v>その他のもの</v>
          </cell>
          <cell r="N163" t="str">
            <v>随意契約によらざるを得ないもの</v>
          </cell>
          <cell r="P163" t="str">
            <v>民×</v>
          </cell>
          <cell r="Q163" t="str">
            <v>民</v>
          </cell>
          <cell r="S163" t="str">
            <v>民1</v>
          </cell>
          <cell r="U163" t="str">
            <v>民</v>
          </cell>
          <cell r="V163" t="str">
            <v>●</v>
          </cell>
          <cell r="AA163">
            <v>1700195</v>
          </cell>
          <cell r="AB163">
            <v>1</v>
          </cell>
          <cell r="AC163" t="str">
            <v>17S211</v>
          </cell>
          <cell r="AD163" t="str">
            <v>無指定</v>
          </cell>
          <cell r="AE163" t="str">
            <v>ア１</v>
          </cell>
          <cell r="AF163" t="str">
            <v>会計課調達室／物品調達班</v>
          </cell>
          <cell r="AG163" t="str">
            <v>宮田</v>
          </cell>
          <cell r="AI163" t="str">
            <v>行政目的を達成するために不可欠な情報の提供</v>
          </cell>
          <cell r="AJ163" t="str">
            <v>ニ（ヘ）</v>
          </cell>
        </row>
        <row r="164">
          <cell r="A164" t="str">
            <v>民2</v>
          </cell>
          <cell r="B164">
            <v>308</v>
          </cell>
          <cell r="C164" t="str">
            <v>ｶﾌﾞﾃﾞﾝﾂｰ</v>
          </cell>
          <cell r="E164">
            <v>2</v>
          </cell>
          <cell r="F164" t="str">
            <v>株式会社電通</v>
          </cell>
          <cell r="G164" t="str">
            <v>東京都港区東新橋１－８－１</v>
          </cell>
          <cell r="H164" t="str">
            <v>アジア関連記事のクリッピングサービス（ＥＬネット）単価契約</v>
          </cell>
          <cell r="I164" t="str">
            <v>外務省大臣官房会計課長　上月豊久　東京都千代田区霞が関２－２－１</v>
          </cell>
          <cell r="J164">
            <v>38443</v>
          </cell>
          <cell r="K164">
            <v>1447920</v>
          </cell>
          <cell r="L164" t="str">
            <v>本件データベースの運営・情報提供を行っている会社との契約であり、他に競争を許さない（会計法第２９条３第４項）。</v>
          </cell>
          <cell r="M164" t="str">
            <v>見直しの余地があるもの</v>
          </cell>
          <cell r="N164" t="str">
            <v>18年度において当該事務・事業の委託を行わないもの</v>
          </cell>
          <cell r="O164" t="str">
            <v>単価契約</v>
          </cell>
          <cell r="P164" t="str">
            <v>民×</v>
          </cell>
          <cell r="Q164" t="str">
            <v>民</v>
          </cell>
          <cell r="S164" t="str">
            <v>民18×</v>
          </cell>
          <cell r="U164" t="str">
            <v>民</v>
          </cell>
          <cell r="W164" t="str">
            <v>×</v>
          </cell>
          <cell r="AA164">
            <v>1700065</v>
          </cell>
          <cell r="AB164">
            <v>1</v>
          </cell>
          <cell r="AC164" t="str">
            <v>17X145</v>
          </cell>
          <cell r="AD164" t="str">
            <v>無指定</v>
          </cell>
          <cell r="AE164" t="str">
            <v>亜東１</v>
          </cell>
          <cell r="AF164" t="str">
            <v>会計課調達室／サービス調達第１班</v>
          </cell>
          <cell r="AG164" t="str">
            <v>村松</v>
          </cell>
        </row>
        <row r="165">
          <cell r="A165" t="str">
            <v>民3</v>
          </cell>
          <cell r="B165">
            <v>309</v>
          </cell>
          <cell r="C165" t="str">
            <v>ｶﾌﾞﾁｮｳ</v>
          </cell>
          <cell r="E165">
            <v>3</v>
          </cell>
          <cell r="F165" t="str">
            <v>株式会社朝鮮通信社</v>
          </cell>
          <cell r="G165" t="str">
            <v>東京都文京区白山４―３３―１４</v>
          </cell>
          <cell r="H165" t="str">
            <v>「北朝鮮中央通信」配信契約</v>
          </cell>
          <cell r="I165" t="str">
            <v>外務省大臣官房会計課長　上月豊久　東京都千代田区霞が関２－２－１</v>
          </cell>
          <cell r="J165">
            <v>38443</v>
          </cell>
          <cell r="K165">
            <v>2141118</v>
          </cell>
          <cell r="L165" t="str">
            <v>本件情報サービスを運営、提供している会社との契約であり、他に競争を許さない（会計法第２９条の３第４項）。</v>
          </cell>
          <cell r="M165" t="str">
            <v>その他のもの</v>
          </cell>
          <cell r="N165" t="str">
            <v>随意契約によらざるを得ないもの</v>
          </cell>
          <cell r="P165" t="str">
            <v>民×</v>
          </cell>
          <cell r="Q165" t="str">
            <v>民</v>
          </cell>
          <cell r="S165" t="str">
            <v>民1</v>
          </cell>
          <cell r="U165" t="str">
            <v>民</v>
          </cell>
          <cell r="V165" t="str">
            <v>●</v>
          </cell>
          <cell r="AA165">
            <v>1700647</v>
          </cell>
          <cell r="AB165">
            <v>1</v>
          </cell>
          <cell r="AC165" t="str">
            <v>17W105</v>
          </cell>
          <cell r="AD165" t="str">
            <v>取扱注意</v>
          </cell>
          <cell r="AE165" t="str">
            <v>亜北</v>
          </cell>
          <cell r="AF165" t="str">
            <v>会計課調達室／サービス調達第１班</v>
          </cell>
          <cell r="AG165" t="str">
            <v>竹澤</v>
          </cell>
          <cell r="AI165" t="str">
            <v>行政目的を達成するために不可欠な情報の提供</v>
          </cell>
          <cell r="AJ165" t="str">
            <v>ニ（ヘ）</v>
          </cell>
        </row>
        <row r="166">
          <cell r="A166" t="str">
            <v>民4</v>
          </cell>
          <cell r="B166">
            <v>310</v>
          </cell>
          <cell r="C166" t="str">
            <v>ｶﾌﾞﾎﾃﾙｵｰｸﾗ</v>
          </cell>
          <cell r="E166">
            <v>4</v>
          </cell>
          <cell r="F166" t="str">
            <v>株式会社ホテルオークラ東京</v>
          </cell>
          <cell r="G166" t="str">
            <v>東京都港区虎ノ門２－１０－４</v>
          </cell>
          <cell r="H166" t="str">
            <v>実務訪問賓客等接遇（※宿舎契約・３件）</v>
          </cell>
          <cell r="I166" t="str">
            <v>外務省大臣官房会計課長　上月豊久　東京都千代田区霞が関２－２－１</v>
          </cell>
          <cell r="J166">
            <v>38443</v>
          </cell>
          <cell r="K166">
            <v>3860827</v>
          </cell>
          <cell r="L166" t="str">
            <v>賓客側の希望に基づき、滞在中の行事、用務等日程の都合、立地条件、ホテル側の受け入れ態勢などを総合的に判断し委嘱したものであり、他に競争を許さない（会計法第２９条の３第４項）。</v>
          </cell>
          <cell r="M166" t="str">
            <v>その他のもの</v>
          </cell>
          <cell r="N166" t="str">
            <v>随意契約によらざるを得ないもの</v>
          </cell>
          <cell r="O166" t="str">
            <v>全3件</v>
          </cell>
          <cell r="P166" t="str">
            <v>民×</v>
          </cell>
          <cell r="Q166" t="str">
            <v>民</v>
          </cell>
          <cell r="R166">
            <v>3</v>
          </cell>
          <cell r="S166" t="str">
            <v>民1</v>
          </cell>
          <cell r="U166" t="str">
            <v>民</v>
          </cell>
          <cell r="V166" t="str">
            <v>●</v>
          </cell>
          <cell r="AA166" t="str">
            <v>1700151　　　　　他</v>
          </cell>
          <cell r="AB166">
            <v>2</v>
          </cell>
          <cell r="AC166" t="str">
            <v>17J026</v>
          </cell>
          <cell r="AD166" t="str">
            <v>無指定</v>
          </cell>
          <cell r="AE166" t="str">
            <v>亜洋</v>
          </cell>
          <cell r="AF166" t="str">
            <v>会計課調達室／サービス調達第２班</v>
          </cell>
          <cell r="AG166" t="str">
            <v>和田</v>
          </cell>
          <cell r="AI166" t="str">
            <v>相手国との関係から業務の質を確保することについて特段の配慮を要するもの
行政目的を達成するために不可欠な業務を提供することが可能な者から提供を受けるもの</v>
          </cell>
          <cell r="AJ166" t="str">
            <v>ニ（ヘ）
に準ずる</v>
          </cell>
        </row>
        <row r="167">
          <cell r="A167" t="str">
            <v>民7</v>
          </cell>
          <cell r="B167">
            <v>313</v>
          </cell>
          <cell r="C167" t="str">
            <v>ｸﾞﾗﾝﾄﾞﾊｲｱｯﾄ</v>
          </cell>
          <cell r="E167">
            <v>7</v>
          </cell>
          <cell r="F167" t="str">
            <v>グランドハイアット東京</v>
          </cell>
          <cell r="G167" t="str">
            <v>東京都港区六本木６－１０－３</v>
          </cell>
          <cell r="H167" t="str">
            <v>実務訪問賓客接遇（宿舎契約）</v>
          </cell>
          <cell r="I167" t="str">
            <v xml:space="preserve">
外務省大臣官房会計課長　上月豊久
東京都千代田区霞が関２－２－１</v>
          </cell>
          <cell r="J167">
            <v>38443</v>
          </cell>
          <cell r="K167">
            <v>1108366</v>
          </cell>
          <cell r="L167" t="str">
            <v>賓客側の希望に基づき、滞在中の行事、用務等日程の都合、立地条件、ホテル側の受け入れ態勢などを総合的に判断し委嘱したものであり、他に競争を許さない（会計法第２９条の３第４項）。</v>
          </cell>
          <cell r="M167" t="str">
            <v>その他のもの</v>
          </cell>
          <cell r="N167" t="str">
            <v>随意契約によらざるを得ないもの</v>
          </cell>
          <cell r="P167" t="str">
            <v>民×</v>
          </cell>
          <cell r="Q167" t="str">
            <v>民</v>
          </cell>
          <cell r="S167" t="str">
            <v>民1</v>
          </cell>
          <cell r="U167" t="str">
            <v>民</v>
          </cell>
          <cell r="V167" t="str">
            <v>●</v>
          </cell>
          <cell r="AA167">
            <v>1700512</v>
          </cell>
          <cell r="AB167">
            <v>1</v>
          </cell>
          <cell r="AC167" t="str">
            <v>17J008</v>
          </cell>
          <cell r="AD167" t="str">
            <v>取扱注意</v>
          </cell>
          <cell r="AE167" t="str">
            <v>欧東</v>
          </cell>
          <cell r="AF167" t="str">
            <v>会計課調達室／サービス調達第２班</v>
          </cell>
          <cell r="AG167" t="str">
            <v>高出</v>
          </cell>
        </row>
        <row r="168">
          <cell r="A168" t="str">
            <v>民8</v>
          </cell>
          <cell r="B168">
            <v>314</v>
          </cell>
          <cell r="C168" t="str">
            <v>ｲﾀﾙﾀｽ</v>
          </cell>
          <cell r="E168">
            <v>8</v>
          </cell>
          <cell r="F168" t="str">
            <v>株式会社共同通信社
イタル・タス通信社</v>
          </cell>
          <cell r="G168" t="str">
            <v>東京都港区東新橋１－７－１</v>
          </cell>
          <cell r="H168" t="str">
            <v>「イタル・タス通信社ニュース」受信</v>
          </cell>
          <cell r="I168" t="str">
            <v xml:space="preserve">
外務省大臣官房会計課長　上月豊久
東京都千代田区霞が関２－２－１</v>
          </cell>
          <cell r="J168">
            <v>38443</v>
          </cell>
          <cell r="K168">
            <v>2520000</v>
          </cell>
          <cell r="L168" t="str">
            <v>契約相手先が作成しているニュースの受信契約であり、他に競争を許さない（会計法第２９条の３第４項）。</v>
          </cell>
          <cell r="M168" t="str">
            <v>その他のもの</v>
          </cell>
          <cell r="N168" t="str">
            <v>随意契約によらざるを得ないもの</v>
          </cell>
          <cell r="P168" t="str">
            <v>民×</v>
          </cell>
          <cell r="Q168" t="str">
            <v>民</v>
          </cell>
          <cell r="S168" t="str">
            <v>民1</v>
          </cell>
          <cell r="U168" t="str">
            <v>民</v>
          </cell>
          <cell r="V168" t="str">
            <v>●</v>
          </cell>
          <cell r="AA168">
            <v>1700642</v>
          </cell>
          <cell r="AB168">
            <v>1</v>
          </cell>
          <cell r="AD168" t="str">
            <v>無指定</v>
          </cell>
          <cell r="AE168" t="str">
            <v>欧ロ</v>
          </cell>
          <cell r="AF168" t="str">
            <v>会計課調達室／サービス調達第１班</v>
          </cell>
          <cell r="AG168" t="str">
            <v>村松</v>
          </cell>
          <cell r="AI168" t="str">
            <v>行政目的を達成するために不可欠な情報の提供</v>
          </cell>
          <cell r="AJ168" t="str">
            <v>ニ（ヘ）</v>
          </cell>
        </row>
        <row r="169">
          <cell r="A169" t="str">
            <v>民9</v>
          </cell>
          <cell r="B169">
            <v>315</v>
          </cell>
          <cell r="C169" t="str">
            <v>ｶﾌﾞﾋﾀﾁﾋﾞﾙ</v>
          </cell>
          <cell r="E169">
            <v>9</v>
          </cell>
          <cell r="F169" t="str">
            <v>株式会社日立ビルシステム</v>
          </cell>
          <cell r="G169" t="str">
            <v>東京都千代田区神田錦町１－６</v>
          </cell>
          <cell r="H169" t="str">
            <v>飯倉別館及び外交史料館エレベーター設備の保守契約</v>
          </cell>
          <cell r="I169" t="str">
            <v>外務省大臣官房会計課長　上月豊久　東京都千代田区霞が関２－２－１</v>
          </cell>
          <cell r="J169">
            <v>38443</v>
          </cell>
          <cell r="K169">
            <v>1970010</v>
          </cell>
          <cell r="L169" t="str">
            <v>エレベータ設備の製造会社の保守・工事部門を担当している同社に保守を行わせるものであり、他に競争を許さない（会計法第２９条の３第４項）。</v>
          </cell>
          <cell r="M169" t="str">
            <v>見直しの余地があるもの</v>
          </cell>
          <cell r="N169" t="str">
            <v>競争入札への移行を検討(平成２０年度以降検討)</v>
          </cell>
          <cell r="P169" t="str">
            <v>民×</v>
          </cell>
          <cell r="Q169" t="str">
            <v>民</v>
          </cell>
          <cell r="S169" t="str">
            <v>民20①</v>
          </cell>
          <cell r="U169" t="str">
            <v>民</v>
          </cell>
          <cell r="Y169" t="str">
            <v>①</v>
          </cell>
          <cell r="AA169">
            <v>1700674</v>
          </cell>
          <cell r="AB169">
            <v>1</v>
          </cell>
          <cell r="AC169" t="str">
            <v>17Q348</v>
          </cell>
          <cell r="AD169" t="str">
            <v>無指定</v>
          </cell>
          <cell r="AE169" t="str">
            <v>会</v>
          </cell>
          <cell r="AF169" t="str">
            <v>会計課調達室／政府調達班</v>
          </cell>
          <cell r="AG169" t="str">
            <v>石井</v>
          </cell>
        </row>
        <row r="170">
          <cell r="A170" t="str">
            <v>民10</v>
          </cell>
          <cell r="B170">
            <v>316</v>
          </cell>
          <cell r="C170" t="str">
            <v>ｶﾌﾞﾄｳｷｮｳﾛｰﾝ</v>
          </cell>
          <cell r="E170">
            <v>10</v>
          </cell>
          <cell r="F170" t="str">
            <v>株式会社東京ローン・サービス</v>
          </cell>
          <cell r="G170" t="str">
            <v>東京都杉並区天沼２―２６―３</v>
          </cell>
          <cell r="H170" t="str">
            <v>飯倉別館構内庭園の保守管理契約</v>
          </cell>
          <cell r="I170" t="str">
            <v>外務省大臣官房会計課長　上月豊久　東京都千代田区霞が関２－２－１</v>
          </cell>
          <cell r="J170">
            <v>38443</v>
          </cell>
          <cell r="K170">
            <v>5240550</v>
          </cell>
          <cell r="L170" t="str">
            <v>契約相手先は長年にわたり本契約を請け負い、国内外の要人を迎える庭園を良好な状態に保っている。これまで蓄積した当庭園に関する知識を生かし、長期的計画により管理を行っておりそのサービスは他に競争を許さない（会計法第２９条の３第４項）。</v>
          </cell>
          <cell r="M170" t="str">
            <v>見直しの余地があるもの</v>
          </cell>
          <cell r="N170" t="str">
            <v>将来的には競争入札への移行を検討(平成２０年度以降検討)</v>
          </cell>
          <cell r="P170" t="str">
            <v>民×</v>
          </cell>
          <cell r="Q170" t="str">
            <v>民</v>
          </cell>
          <cell r="S170" t="str">
            <v>民20①</v>
          </cell>
          <cell r="U170" t="str">
            <v>民</v>
          </cell>
          <cell r="Y170" t="str">
            <v>①</v>
          </cell>
          <cell r="AA170">
            <v>1700693</v>
          </cell>
          <cell r="AB170">
            <v>1</v>
          </cell>
          <cell r="AC170" t="str">
            <v>17Q346</v>
          </cell>
          <cell r="AD170" t="str">
            <v>無指定</v>
          </cell>
          <cell r="AE170" t="str">
            <v>会</v>
          </cell>
          <cell r="AF170" t="str">
            <v>会計課調達室／政府調達班</v>
          </cell>
          <cell r="AG170" t="str">
            <v>石井</v>
          </cell>
        </row>
        <row r="171">
          <cell r="A171" t="str">
            <v>民11</v>
          </cell>
          <cell r="B171">
            <v>317</v>
          </cell>
          <cell r="C171" t="str">
            <v>ﾆﾎﾝﾃﾞﾝｷｼｽﾃﾑｹﾝｾﾂ</v>
          </cell>
          <cell r="E171">
            <v>11</v>
          </cell>
          <cell r="F171" t="str">
            <v>日本電気システム建設株式会社</v>
          </cell>
          <cell r="G171" t="str">
            <v>東京都品川区東品川１－３９－９</v>
          </cell>
          <cell r="H171" t="str">
            <v>電話交換設備保守契約</v>
          </cell>
          <cell r="I171" t="str">
            <v>外務省大臣官房会計課長　上月豊久　東京都千代田区霞が関２－２－１</v>
          </cell>
          <cell r="J171">
            <v>38443</v>
          </cell>
          <cell r="K171">
            <v>32345328</v>
          </cell>
          <cell r="L171" t="str">
            <v>契約相手先は本件設備の製造メーカーの保守・工事部門を受け持つ会社である。保守のために必要な知識、技術はもとより製造メーカーのバックアップ体制も確立しており、他に競争を許さない（会計法第２９条の３第４項）。</v>
          </cell>
          <cell r="M171" t="str">
            <v>見直しの余地があるもの</v>
          </cell>
          <cell r="N171" t="str">
            <v>競争入札への移行を検討（設備の入れ替え時において実施検討）</v>
          </cell>
          <cell r="P171" t="str">
            <v>民×</v>
          </cell>
          <cell r="Q171" t="str">
            <v>民</v>
          </cell>
          <cell r="S171" t="str">
            <v>民21①</v>
          </cell>
          <cell r="U171" t="str">
            <v>民</v>
          </cell>
          <cell r="Z171" t="str">
            <v>①</v>
          </cell>
          <cell r="AA171">
            <v>1700690</v>
          </cell>
          <cell r="AB171">
            <v>1</v>
          </cell>
          <cell r="AC171" t="str">
            <v>17Q317</v>
          </cell>
          <cell r="AD171" t="str">
            <v>無指定</v>
          </cell>
          <cell r="AE171" t="str">
            <v>会</v>
          </cell>
          <cell r="AF171" t="str">
            <v>会計課調達室／政府調達班</v>
          </cell>
          <cell r="AG171" t="str">
            <v>武藤</v>
          </cell>
        </row>
        <row r="172">
          <cell r="A172" t="str">
            <v>民12</v>
          </cell>
          <cell r="B172">
            <v>318</v>
          </cell>
          <cell r="C172" t="str">
            <v>ｿｳｹｲ</v>
          </cell>
          <cell r="E172">
            <v>12</v>
          </cell>
          <cell r="F172" t="str">
            <v>綜警常駐警備株式会社</v>
          </cell>
          <cell r="G172" t="str">
            <v>東京都品川区西五反田７－２１－１１</v>
          </cell>
          <cell r="H172" t="str">
            <v>麻布台別館警備業務委託契約</v>
          </cell>
          <cell r="I172" t="str">
            <v>外務省大臣官房会計課長　上月豊久　東京都千代田区霞が関２－２－１</v>
          </cell>
          <cell r="J172">
            <v>38443</v>
          </cell>
          <cell r="K172">
            <v>15649200</v>
          </cell>
          <cell r="L172" t="str">
            <v>同別館には契約相手先の警備システムが配備されており、技術的な理由及び連携を考慮すれば、同社との契約が最も有効であることから他に競争を許さない（会計法第２９条の３第４項）。</v>
          </cell>
          <cell r="M172" t="str">
            <v>見直しの余地があるもの</v>
          </cell>
          <cell r="N172" t="str">
            <v>競争入札に移行（システムの入れ替え時において実施）</v>
          </cell>
          <cell r="P172" t="str">
            <v>民×</v>
          </cell>
          <cell r="Q172" t="str">
            <v>民</v>
          </cell>
          <cell r="S172" t="str">
            <v>民21①</v>
          </cell>
          <cell r="U172" t="str">
            <v>民</v>
          </cell>
          <cell r="Z172" t="str">
            <v>①</v>
          </cell>
          <cell r="AA172">
            <v>1700176</v>
          </cell>
          <cell r="AB172">
            <v>1</v>
          </cell>
          <cell r="AC172" t="str">
            <v>17W107</v>
          </cell>
          <cell r="AD172" t="str">
            <v>無指定</v>
          </cell>
          <cell r="AE172" t="str">
            <v>会</v>
          </cell>
          <cell r="AF172" t="str">
            <v>会計課調達室／政府調達班</v>
          </cell>
          <cell r="AG172" t="str">
            <v>風戸</v>
          </cell>
          <cell r="AI172" t="str">
            <v>平成20年度はTICAD　Ⅳ及びサミット等のため、テロに対する厳重な警備が必要であり、省員及び来客の生命の安全を確保するために、外務本省（及び関連施設）の警備に精通している警備会社に警備を遂行させる必要があったため。</v>
          </cell>
          <cell r="AJ172" t="str">
            <v>平成21年度</v>
          </cell>
        </row>
        <row r="173">
          <cell r="A173" t="str">
            <v>民13</v>
          </cell>
          <cell r="B173">
            <v>319</v>
          </cell>
          <cell r="C173" t="str">
            <v>ﾆﾎﾝﾌﾞﾙﾒﾝﾃ</v>
          </cell>
          <cell r="E173">
            <v>13</v>
          </cell>
          <cell r="F173" t="str">
            <v>日本ビル・メンテナンス株式会社</v>
          </cell>
          <cell r="G173" t="str">
            <v>東京都中央区京橋２―１７―４</v>
          </cell>
          <cell r="H173" t="str">
            <v>外務省本庁舎ほか警備業務委託契約</v>
          </cell>
          <cell r="I173" t="str">
            <v>外務省大臣官房会計課長　上月豊久　東京都千代田区霞が関２－２－１</v>
          </cell>
          <cell r="J173">
            <v>38443</v>
          </cell>
          <cell r="K173">
            <v>168840000</v>
          </cell>
          <cell r="L173" t="str">
            <v>平成１５年度に一般競争入札（契約期間平成１８年３月３１日まで。但し契約自体は単年度）で委嘱した警備業務契約の継続契約（会計法第２９条の３第４項）。</v>
          </cell>
          <cell r="M173" t="str">
            <v>見直しの余地があるもの</v>
          </cell>
          <cell r="N173" t="str">
            <v>将来的には競争入札への移行を検討(平成２２年度を目処に検討)</v>
          </cell>
          <cell r="P173" t="str">
            <v>民×</v>
          </cell>
          <cell r="Q173" t="str">
            <v>民</v>
          </cell>
          <cell r="S173" t="str">
            <v>民21①</v>
          </cell>
          <cell r="U173" t="str">
            <v>民</v>
          </cell>
          <cell r="Z173" t="str">
            <v>①</v>
          </cell>
          <cell r="AA173">
            <v>1700174</v>
          </cell>
          <cell r="AB173">
            <v>1</v>
          </cell>
          <cell r="AC173" t="str">
            <v>17Q082</v>
          </cell>
          <cell r="AD173" t="str">
            <v>無指定</v>
          </cell>
          <cell r="AE173" t="str">
            <v>会</v>
          </cell>
          <cell r="AF173" t="str">
            <v>会計課調達室／政府調達班</v>
          </cell>
          <cell r="AG173" t="str">
            <v>風戸</v>
          </cell>
          <cell r="AI173" t="str">
            <v>平成20年度はTICAD　Ⅳ及びサミット等のため、テロに対する厳重な警備が必要であり、省員及び来客の生命の安全を確保するために、外務本省（及び関連施設）の警備に精通している警備会社に警備を遂行させる必要があったため。</v>
          </cell>
          <cell r="AJ173" t="str">
            <v>平成21年度</v>
          </cell>
        </row>
        <row r="174">
          <cell r="A174" t="str">
            <v>民14</v>
          </cell>
          <cell r="B174">
            <v>320</v>
          </cell>
          <cell r="C174" t="str">
            <v>ｻﾄｳﾃﾞﾝｾﾂ</v>
          </cell>
          <cell r="E174">
            <v>14</v>
          </cell>
          <cell r="F174" t="str">
            <v>佐藤電設工業株式会社</v>
          </cell>
          <cell r="G174" t="str">
            <v>東京都北区中十条１－１５－４</v>
          </cell>
          <cell r="H174" t="str">
            <v>外務省所管建物自動扉の保守契約</v>
          </cell>
          <cell r="I174" t="str">
            <v>外務省大臣官房会計課長　上月豊久　東京都千代田区霞が関２－２－１</v>
          </cell>
          <cell r="J174">
            <v>38443</v>
          </cell>
          <cell r="K174">
            <v>2570400</v>
          </cell>
          <cell r="L174" t="str">
            <v>本機器の製造会社の代理店であり設置を行った会社が同システムの保守を行うものであり、競争を許さない（会計法第２９条の３第４項）。</v>
          </cell>
          <cell r="M174" t="str">
            <v>見直しの余地があるもの</v>
          </cell>
          <cell r="N174" t="str">
            <v>競争入札への移行を検討(平成１９年度以降検討)</v>
          </cell>
          <cell r="P174" t="str">
            <v>民×</v>
          </cell>
          <cell r="Q174" t="str">
            <v>民</v>
          </cell>
          <cell r="S174" t="str">
            <v>民19①</v>
          </cell>
          <cell r="U174" t="str">
            <v>民</v>
          </cell>
          <cell r="X174" t="str">
            <v>①</v>
          </cell>
          <cell r="AA174">
            <v>1700679</v>
          </cell>
          <cell r="AB174">
            <v>1</v>
          </cell>
          <cell r="AC174" t="str">
            <v>17Q039</v>
          </cell>
          <cell r="AD174" t="str">
            <v>無指定</v>
          </cell>
          <cell r="AE174" t="str">
            <v>会</v>
          </cell>
          <cell r="AF174" t="str">
            <v>会計課調達室／政府調達班</v>
          </cell>
          <cell r="AG174" t="str">
            <v>石井</v>
          </cell>
        </row>
        <row r="175">
          <cell r="A175" t="str">
            <v>民15</v>
          </cell>
          <cell r="B175">
            <v>321</v>
          </cell>
          <cell r="C175" t="str">
            <v>ｶﾌﾞﾄｳﾜ</v>
          </cell>
          <cell r="E175">
            <v>15</v>
          </cell>
          <cell r="F175" t="str">
            <v>株式会社東和エンジニアリング</v>
          </cell>
          <cell r="G175" t="str">
            <v>東京都台東区秋葉原１－８</v>
          </cell>
          <cell r="H175" t="str">
            <v>外務本省国際大会議室同時通訳装置の保守契約</v>
          </cell>
          <cell r="I175" t="str">
            <v>外務省大臣官房会計課長　上月豊久　東京都千代田区霞が関２－２－１</v>
          </cell>
          <cell r="J175">
            <v>38443</v>
          </cell>
          <cell r="K175">
            <v>6090000</v>
          </cell>
          <cell r="L175" t="str">
            <v>本機器の設置業者であり、またその機器の大部分の製造業者である同社が保守を行うものであり、競争を許さない（会計法第２９条の３第４項）。</v>
          </cell>
          <cell r="M175" t="str">
            <v>見直しの余地があるもの</v>
          </cell>
          <cell r="N175" t="str">
            <v>競争入札への移行を検討（設備の入れ替え時において実施検討）</v>
          </cell>
          <cell r="P175" t="str">
            <v>民×</v>
          </cell>
          <cell r="Q175" t="str">
            <v>民</v>
          </cell>
          <cell r="S175" t="str">
            <v>民21①</v>
          </cell>
          <cell r="U175" t="str">
            <v>民</v>
          </cell>
          <cell r="Z175" t="str">
            <v>①</v>
          </cell>
          <cell r="AA175">
            <v>1700677</v>
          </cell>
          <cell r="AB175">
            <v>1</v>
          </cell>
          <cell r="AC175" t="str">
            <v>17Q356</v>
          </cell>
          <cell r="AD175" t="str">
            <v>無指定</v>
          </cell>
          <cell r="AE175" t="str">
            <v>会</v>
          </cell>
          <cell r="AF175" t="str">
            <v>会計課調達室／政府調達班</v>
          </cell>
          <cell r="AG175" t="str">
            <v>石井</v>
          </cell>
        </row>
        <row r="176">
          <cell r="A176" t="str">
            <v>民16</v>
          </cell>
          <cell r="B176">
            <v>322</v>
          </cell>
          <cell r="C176" t="str">
            <v>ｶﾌﾞﾀﾞｲ</v>
          </cell>
          <cell r="E176">
            <v>16</v>
          </cell>
          <cell r="F176" t="str">
            <v>株式会社ダイキンアプライドシステムズ</v>
          </cell>
          <cell r="G176" t="str">
            <v>東京都港区芝浦４－１３－２３</v>
          </cell>
          <cell r="H176" t="str">
            <v>飯倉別館及び麻布台別館空調機設備の保守契約</v>
          </cell>
          <cell r="I176" t="str">
            <v>外務省大臣官房会計課長　上月豊久　東京都千代田区霞が関２－２－１</v>
          </cell>
          <cell r="J176">
            <v>38443</v>
          </cell>
          <cell r="K176">
            <v>2735880</v>
          </cell>
          <cell r="L176" t="str">
            <v>本件設備の製造メーカーが同設備の保守を行うものであり、他に競争を許さない（会計法第２９条の３第４項）。</v>
          </cell>
          <cell r="M176" t="str">
            <v>見直しの余地があるもの</v>
          </cell>
          <cell r="N176" t="str">
            <v>競争入札への移行を検討（設備の入れ替え時において実施検討）</v>
          </cell>
          <cell r="P176" t="str">
            <v>民×</v>
          </cell>
          <cell r="Q176" t="str">
            <v>民</v>
          </cell>
          <cell r="S176" t="str">
            <v>民21①</v>
          </cell>
          <cell r="U176" t="str">
            <v>民</v>
          </cell>
          <cell r="Z176" t="str">
            <v>①</v>
          </cell>
          <cell r="AA176">
            <v>1700685</v>
          </cell>
          <cell r="AB176">
            <v>1</v>
          </cell>
          <cell r="AC176" t="str">
            <v>17Q349</v>
          </cell>
          <cell r="AD176" t="str">
            <v>無指定</v>
          </cell>
          <cell r="AE176" t="str">
            <v>会</v>
          </cell>
          <cell r="AF176" t="str">
            <v>会計課調達室／政府調達班</v>
          </cell>
          <cell r="AG176" t="str">
            <v>石井</v>
          </cell>
        </row>
        <row r="177">
          <cell r="A177" t="str">
            <v>民17</v>
          </cell>
          <cell r="B177">
            <v>323</v>
          </cell>
          <cell r="C177" t="str">
            <v>ｶﾌﾞｹﾝﾄｸ</v>
          </cell>
          <cell r="E177">
            <v>17</v>
          </cell>
          <cell r="F177" t="str">
            <v xml:space="preserve">株式会社ケントク東京本部
</v>
          </cell>
          <cell r="G177" t="str">
            <v>東京都千代田区内幸町１－２－１</v>
          </cell>
          <cell r="H177" t="str">
            <v>外務省所管建物設備管理委託契約</v>
          </cell>
          <cell r="I177" t="str">
            <v>外務省大臣官房会計課長　上月豊久　東京都千代田区霞が関２－２－１</v>
          </cell>
          <cell r="J177">
            <v>38443</v>
          </cell>
          <cell r="K177">
            <v>88016880</v>
          </cell>
          <cell r="L177" t="str">
            <v>本省庁舎の電気、衛生、冷暖房設備の維持管理にあたっては、庁舎建物設備全般に対する知識が必要である。長年にわたる同社の経験は当省の設備を良好に維持管理する上で欠かすことができない（会計法第２９条の３第４項）。</v>
          </cell>
          <cell r="M177" t="str">
            <v>見直しの余地があるもの</v>
          </cell>
          <cell r="N177" t="str">
            <v>将来的には競争入札への移行を検討(平成２１年度以降検討)</v>
          </cell>
          <cell r="P177" t="str">
            <v>民×</v>
          </cell>
          <cell r="Q177" t="str">
            <v>民</v>
          </cell>
          <cell r="S177" t="str">
            <v>民21①</v>
          </cell>
          <cell r="U177" t="str">
            <v>民</v>
          </cell>
          <cell r="Z177" t="str">
            <v>①</v>
          </cell>
          <cell r="AA177">
            <v>1700691</v>
          </cell>
          <cell r="AB177">
            <v>1</v>
          </cell>
          <cell r="AC177" t="str">
            <v>17Q072</v>
          </cell>
          <cell r="AD177" t="str">
            <v>無指定</v>
          </cell>
          <cell r="AE177" t="str">
            <v>会</v>
          </cell>
          <cell r="AF177" t="str">
            <v>会計課調達室／政府調達班</v>
          </cell>
          <cell r="AG177" t="str">
            <v>石井</v>
          </cell>
        </row>
        <row r="178">
          <cell r="A178" t="str">
            <v>民18</v>
          </cell>
          <cell r="B178">
            <v>324</v>
          </cell>
          <cell r="C178" t="str">
            <v>ﾆﾎﾝﾋﾞｿｰ</v>
          </cell>
          <cell r="E178">
            <v>18</v>
          </cell>
          <cell r="F178" t="str">
            <v>日本ビソー株式会社</v>
          </cell>
          <cell r="G178" t="str">
            <v>東京都港区芝浦４－１５－３３</v>
          </cell>
          <cell r="H178" t="str">
            <v>外務本省新庁舎ゴンドラ設備の保守契約</v>
          </cell>
          <cell r="I178" t="str">
            <v>外務省大臣官房会計課長　上月豊久　東京都千代田区霞が関２－２－１</v>
          </cell>
          <cell r="J178">
            <v>38443</v>
          </cell>
          <cell r="K178">
            <v>1138200</v>
          </cell>
          <cell r="L178" t="str">
            <v>本設備の製造及び設置を行った会社が保守を行うものであり、競争を許さない（会計法第２９条の３第４項）。</v>
          </cell>
          <cell r="M178" t="str">
            <v>見直しの余地があるもの</v>
          </cell>
          <cell r="N178" t="str">
            <v>競争入札への移行を検討(平成１９年度以降検討)</v>
          </cell>
          <cell r="P178" t="str">
            <v>民×</v>
          </cell>
          <cell r="Q178" t="str">
            <v>民</v>
          </cell>
          <cell r="S178" t="str">
            <v>民19①</v>
          </cell>
          <cell r="U178" t="str">
            <v>民</v>
          </cell>
          <cell r="X178" t="str">
            <v>①</v>
          </cell>
          <cell r="AA178">
            <v>1700689</v>
          </cell>
          <cell r="AB178">
            <v>1</v>
          </cell>
          <cell r="AC178" t="str">
            <v>17Q353</v>
          </cell>
          <cell r="AD178" t="str">
            <v>無指定</v>
          </cell>
          <cell r="AE178" t="str">
            <v>会</v>
          </cell>
          <cell r="AF178" t="str">
            <v>会計課調達室／政府調達班</v>
          </cell>
          <cell r="AG178" t="str">
            <v>石井</v>
          </cell>
        </row>
        <row r="179">
          <cell r="A179" t="str">
            <v>民19</v>
          </cell>
          <cell r="B179">
            <v>325</v>
          </cell>
          <cell r="C179" t="str">
            <v>ｶﾌﾞﾔﾏ</v>
          </cell>
          <cell r="E179">
            <v>19</v>
          </cell>
          <cell r="F179" t="str">
            <v>株式会社山武ビルシステムカンパニー</v>
          </cell>
          <cell r="G179" t="str">
            <v>東京都港区芝浦４－３－４</v>
          </cell>
          <cell r="H179" t="str">
            <v>外務本省庁舎及び飯倉別館空調機器設備の保守契約</v>
          </cell>
          <cell r="I179" t="str">
            <v>外務省大臣官房会計課長　上月豊久　東京都千代田区霞が関２－２－１</v>
          </cell>
          <cell r="J179">
            <v>38443</v>
          </cell>
          <cell r="K179">
            <v>15991500</v>
          </cell>
          <cell r="L179" t="str">
            <v>本設備の製造メーカーであり、また、本件の設置業者である同社が保守を行うものであり、競争を許さない（会計法第２９条の３第４項）。</v>
          </cell>
          <cell r="M179" t="str">
            <v>見直しの余地があるもの</v>
          </cell>
          <cell r="N179" t="str">
            <v>競争入札への移行を検討(設備の入替時または平成２０年度以降検討）</v>
          </cell>
          <cell r="P179" t="str">
            <v>民×</v>
          </cell>
          <cell r="Q179" t="str">
            <v>民</v>
          </cell>
          <cell r="S179" t="str">
            <v>民20①</v>
          </cell>
          <cell r="U179" t="str">
            <v>民</v>
          </cell>
          <cell r="Y179" t="str">
            <v>①</v>
          </cell>
          <cell r="AA179">
            <v>1700694</v>
          </cell>
          <cell r="AB179">
            <v>1</v>
          </cell>
          <cell r="AC179" t="str">
            <v>17Q035</v>
          </cell>
          <cell r="AD179" t="str">
            <v>無指定</v>
          </cell>
          <cell r="AE179" t="str">
            <v>会</v>
          </cell>
          <cell r="AF179" t="str">
            <v>会計課調達室／政府調達班</v>
          </cell>
          <cell r="AG179" t="str">
            <v>石井</v>
          </cell>
        </row>
        <row r="180">
          <cell r="A180" t="str">
            <v>民20</v>
          </cell>
          <cell r="B180">
            <v>326</v>
          </cell>
          <cell r="C180" t="str">
            <v>ｶﾌﾞｾﾞｺ</v>
          </cell>
          <cell r="E180">
            <v>20</v>
          </cell>
          <cell r="F180" t="str">
            <v>株式会社ゼコー</v>
          </cell>
          <cell r="G180" t="str">
            <v>東京都文京区湯島３―１４―９</v>
          </cell>
          <cell r="H180" t="str">
            <v>外務省新庁舎防犯・入室管理・ＩＴＶ設備の保守契約</v>
          </cell>
          <cell r="I180" t="str">
            <v>外務省大臣官房会計課長　上月豊久　東京都千代田区霞が関２－２－１</v>
          </cell>
          <cell r="J180">
            <v>38443</v>
          </cell>
          <cell r="K180">
            <v>4265580</v>
          </cell>
          <cell r="L180" t="str">
            <v>本設備の設置工事を一括して行った会社が同設備の保守を行うものであり、他に競争を許さない（会計法第２９条の３第４項）。</v>
          </cell>
          <cell r="M180" t="str">
            <v>見直しの余地があるもの</v>
          </cell>
          <cell r="N180" t="str">
            <v>競争入札への移行を検討(設備の入替時において実施検討）</v>
          </cell>
          <cell r="P180" t="str">
            <v>民×</v>
          </cell>
          <cell r="Q180" t="str">
            <v>民</v>
          </cell>
          <cell r="S180" t="str">
            <v>民21①</v>
          </cell>
          <cell r="U180" t="str">
            <v>民</v>
          </cell>
          <cell r="Z180" t="str">
            <v>①</v>
          </cell>
          <cell r="AA180">
            <v>1700680</v>
          </cell>
          <cell r="AB180">
            <v>1</v>
          </cell>
          <cell r="AC180" t="str">
            <v>17Q357</v>
          </cell>
          <cell r="AD180" t="str">
            <v>無指定</v>
          </cell>
          <cell r="AE180" t="str">
            <v>会</v>
          </cell>
          <cell r="AF180" t="str">
            <v>会計課調達室／政府調達班</v>
          </cell>
          <cell r="AG180" t="str">
            <v>石井</v>
          </cell>
        </row>
        <row r="181">
          <cell r="A181" t="str">
            <v>民21</v>
          </cell>
          <cell r="B181">
            <v>327</v>
          </cell>
          <cell r="C181" t="str">
            <v>ｶﾌﾞﾄｳﾖｳ</v>
          </cell>
          <cell r="E181">
            <v>21</v>
          </cell>
          <cell r="F181" t="str">
            <v>株式会社東洋製作所</v>
          </cell>
          <cell r="G181" t="str">
            <v>東京都品川区東品川４－１１－３４</v>
          </cell>
          <cell r="H181" t="str">
            <v>外務本省庁舎冷暖房設備の保守契約</v>
          </cell>
          <cell r="I181" t="str">
            <v>外務省大臣官房会計課長　上月豊久　東京都千代田区霞が関２－２－１</v>
          </cell>
          <cell r="J181">
            <v>38443</v>
          </cell>
          <cell r="K181">
            <v>13289850</v>
          </cell>
          <cell r="L181" t="str">
            <v>本設備の設置工事を行った会社が同設備の保守を行うものであり、設備製造会社から保守・修理に関する代行店として指定されているため製造メーカーのバックアップ体制も確立しており、他に競争を許さない（会計法第２９条の３第４号）。</v>
          </cell>
          <cell r="M181" t="str">
            <v>見直しの余地があるもの</v>
          </cell>
          <cell r="N181" t="str">
            <v>競争入札への移行を検討（設備の入れ替え時において実施検討）</v>
          </cell>
          <cell r="P181" t="str">
            <v>民×</v>
          </cell>
          <cell r="Q181" t="str">
            <v>民</v>
          </cell>
          <cell r="S181" t="str">
            <v>民21①</v>
          </cell>
          <cell r="U181" t="str">
            <v>民</v>
          </cell>
          <cell r="Z181" t="str">
            <v>①</v>
          </cell>
          <cell r="AA181">
            <v>1700682</v>
          </cell>
          <cell r="AB181">
            <v>1</v>
          </cell>
          <cell r="AC181" t="str">
            <v>17Q351</v>
          </cell>
          <cell r="AD181" t="str">
            <v>無指定</v>
          </cell>
          <cell r="AE181" t="str">
            <v>会</v>
          </cell>
          <cell r="AF181" t="str">
            <v>会計課調達室／政府調達班</v>
          </cell>
          <cell r="AG181" t="str">
            <v>石井</v>
          </cell>
        </row>
        <row r="182">
          <cell r="A182" t="str">
            <v>民22</v>
          </cell>
          <cell r="B182">
            <v>328</v>
          </cell>
          <cell r="C182" t="str">
            <v>ｶﾌﾞﾆｼ</v>
          </cell>
          <cell r="E182">
            <v>22</v>
          </cell>
          <cell r="F182" t="str">
            <v>株式会社西原ネオ</v>
          </cell>
          <cell r="G182" t="str">
            <v>東京都港区芝浦３－６－１８</v>
          </cell>
          <cell r="H182" t="str">
            <v>外務本省厨房排水除害施設の保守契約</v>
          </cell>
          <cell r="I182" t="str">
            <v>外務省大臣官房会計課長　上月豊久　東京都千代田区霞が関２－２－１</v>
          </cell>
          <cell r="J182">
            <v>38443</v>
          </cell>
          <cell r="K182">
            <v>3246600</v>
          </cell>
          <cell r="L182" t="str">
            <v>本施設が当省独自の仕様に合わせ設計された特殊なものであり、排水除害の過程では同社が特許を持つ技術を使用していることから保守契約の他者への委嘱を行うことはできず他に競争を許さない（会計法第２９条３第４項）</v>
          </cell>
          <cell r="M182" t="str">
            <v>その他のもの</v>
          </cell>
          <cell r="N182" t="str">
            <v>随意契約によらざるを得ないもの</v>
          </cell>
          <cell r="P182" t="str">
            <v>民×</v>
          </cell>
          <cell r="Q182" t="str">
            <v>民</v>
          </cell>
          <cell r="S182" t="str">
            <v>民1</v>
          </cell>
          <cell r="U182" t="str">
            <v>民</v>
          </cell>
          <cell r="V182" t="str">
            <v>●</v>
          </cell>
          <cell r="AA182">
            <v>1700687</v>
          </cell>
          <cell r="AB182">
            <v>1</v>
          </cell>
          <cell r="AC182" t="str">
            <v>17Q347</v>
          </cell>
          <cell r="AD182" t="str">
            <v>無指定</v>
          </cell>
          <cell r="AE182" t="str">
            <v>会</v>
          </cell>
          <cell r="AF182" t="str">
            <v>会計課調達室／政府調達班</v>
          </cell>
          <cell r="AG182" t="str">
            <v>石井</v>
          </cell>
        </row>
        <row r="183">
          <cell r="A183" t="str">
            <v>民23</v>
          </cell>
          <cell r="B183">
            <v>329</v>
          </cell>
          <cell r="C183" t="str">
            <v>ﾐﾂﾋﾞｼﾃﾞﾝｷ</v>
          </cell>
          <cell r="E183">
            <v>23</v>
          </cell>
          <cell r="F183" t="str">
            <v>三菱電機ビルテクノサービス株式会社</v>
          </cell>
          <cell r="G183" t="str">
            <v>東京都荒川区荒川７－１９－１</v>
          </cell>
          <cell r="H183" t="str">
            <v>外務省所管建物エレベーター設備の保守契約</v>
          </cell>
          <cell r="I183" t="str">
            <v>外務省大臣官房会計課長　上月豊久　東京都千代田区霞が関２－２－１</v>
          </cell>
          <cell r="J183">
            <v>38443</v>
          </cell>
          <cell r="K183">
            <v>27701415</v>
          </cell>
          <cell r="L183" t="str">
            <v>契約相手先は本設備の製造メーカーの子会社であり、エレベータ設備の取り付け、修繕、保守点検を専門に行っている。また本件設備も同社が設置以来保守点検を行ってきていることから、他に競争を許さない（会計法第２９条の３第４項）。</v>
          </cell>
          <cell r="M183" t="str">
            <v>見直しの余地があるもの</v>
          </cell>
          <cell r="N183" t="str">
            <v>競争入札への移行を検討(平成２０年度以降検討)</v>
          </cell>
          <cell r="P183" t="str">
            <v>民×</v>
          </cell>
          <cell r="Q183" t="str">
            <v>民</v>
          </cell>
          <cell r="S183" t="str">
            <v>民20①</v>
          </cell>
          <cell r="U183" t="str">
            <v>民</v>
          </cell>
          <cell r="Y183" t="str">
            <v>①</v>
          </cell>
          <cell r="AA183">
            <v>1700692</v>
          </cell>
          <cell r="AB183">
            <v>1</v>
          </cell>
          <cell r="AC183" t="str">
            <v>17Q345</v>
          </cell>
          <cell r="AD183" t="str">
            <v>無指定</v>
          </cell>
          <cell r="AE183" t="str">
            <v>会</v>
          </cell>
          <cell r="AF183" t="str">
            <v>会計課調達室／政府調達班</v>
          </cell>
          <cell r="AG183" t="str">
            <v>石井</v>
          </cell>
        </row>
        <row r="184">
          <cell r="A184" t="str">
            <v>民24</v>
          </cell>
          <cell r="B184">
            <v>330</v>
          </cell>
          <cell r="C184" t="str">
            <v>ｶﾌﾞﾘｺ</v>
          </cell>
          <cell r="E184">
            <v>24</v>
          </cell>
          <cell r="F184" t="str">
            <v>株式会社リコー</v>
          </cell>
          <cell r="G184" t="str">
            <v>東京都大田区中馬込１－３－６</v>
          </cell>
          <cell r="H184" t="str">
            <v>「配賦通知書ＦＡＸ送信システム」の保守契約</v>
          </cell>
          <cell r="I184" t="str">
            <v>外務省大臣官房会計課長　上月豊久　東京都千代田区霞が関２－２－１</v>
          </cell>
          <cell r="J184">
            <v>38443</v>
          </cell>
          <cell r="K184">
            <v>1965600</v>
          </cell>
          <cell r="L184" t="str">
            <v>本システムの開発を行った会社が同システムの保守を行うものであり、競争を許さない（会計法第２９条の３第４項）。</v>
          </cell>
          <cell r="M184" t="str">
            <v>見直しの余地があるもの</v>
          </cell>
          <cell r="N184" t="str">
            <v>競争入札へ移行（平成２０年度以降のシステムの再構築時に実施検討予定）</v>
          </cell>
          <cell r="P184" t="str">
            <v>民×</v>
          </cell>
          <cell r="Q184" t="str">
            <v>民</v>
          </cell>
          <cell r="S184" t="str">
            <v>民20①</v>
          </cell>
          <cell r="U184" t="str">
            <v>民</v>
          </cell>
          <cell r="Y184" t="str">
            <v>①</v>
          </cell>
          <cell r="AA184">
            <v>1700053</v>
          </cell>
          <cell r="AB184">
            <v>1</v>
          </cell>
          <cell r="AC184" t="str">
            <v>17W137</v>
          </cell>
          <cell r="AD184" t="str">
            <v>無指定</v>
          </cell>
          <cell r="AE184" t="str">
            <v>会</v>
          </cell>
          <cell r="AF184" t="str">
            <v>会計課調達室／物品調達班</v>
          </cell>
          <cell r="AG184" t="str">
            <v>宮田</v>
          </cell>
        </row>
        <row r="185">
          <cell r="A185" t="str">
            <v>民25</v>
          </cell>
          <cell r="B185">
            <v>331</v>
          </cell>
          <cell r="C185" t="str">
            <v>ｼｬｶｲﾎｹﾝｲｼﾔﾏ</v>
          </cell>
          <cell r="E185">
            <v>25</v>
          </cell>
          <cell r="F185" t="str">
            <v>社会保険労務士法人石山事務所</v>
          </cell>
          <cell r="G185" t="str">
            <v>東京都港区愛宕１－１－１０　</v>
          </cell>
          <cell r="H185" t="str">
            <v>「非常勤職員の社会保険手続き関連業務」委嘱</v>
          </cell>
          <cell r="I185" t="str">
            <v>外務省大臣官房会計課長　上月豊久　東京都千代田区霞が関２－２－１</v>
          </cell>
          <cell r="J185">
            <v>38443</v>
          </cell>
          <cell r="K185">
            <v>4749990</v>
          </cell>
          <cell r="L185" t="str">
            <v>当省で勤務する２２０名の非常勤職員に関する手続きを遅滞なく正確に行うには相当程度の事務処理能力と専門知識を有している必要があるが、同法人はこれを満たしており、他に競争を許さない（会計法第２９条の３第４項）。</v>
          </cell>
          <cell r="M185" t="str">
            <v>見直しの余地があるもの</v>
          </cell>
          <cell r="N185" t="str">
            <v>競争入札への移行を検討(平成２０年度以降）</v>
          </cell>
          <cell r="P185" t="str">
            <v>民×</v>
          </cell>
          <cell r="Q185" t="str">
            <v>民</v>
          </cell>
          <cell r="S185" t="str">
            <v>民20①</v>
          </cell>
          <cell r="U185" t="str">
            <v>民</v>
          </cell>
          <cell r="Y185" t="str">
            <v>①</v>
          </cell>
          <cell r="AA185">
            <v>1700090</v>
          </cell>
          <cell r="AB185">
            <v>1</v>
          </cell>
          <cell r="AC185" t="str">
            <v>17G026</v>
          </cell>
          <cell r="AD185" t="str">
            <v>無指定</v>
          </cell>
          <cell r="AE185" t="str">
            <v>人</v>
          </cell>
          <cell r="AF185" t="str">
            <v>会計課調達室／サービス調達第１班</v>
          </cell>
          <cell r="AG185" t="str">
            <v>竹澤</v>
          </cell>
        </row>
        <row r="186">
          <cell r="A186" t="str">
            <v>民26</v>
          </cell>
          <cell r="B186">
            <v>332</v>
          </cell>
          <cell r="C186" t="str">
            <v>ｼﾝﾆｯﾃﾂ</v>
          </cell>
          <cell r="E186">
            <v>26</v>
          </cell>
          <cell r="F186" t="str">
            <v>新日鉄ソリューションズ株式会社</v>
          </cell>
          <cell r="G186" t="str">
            <v>東京都中央区新川２－２０－１５</v>
          </cell>
          <cell r="H186" t="str">
            <v>「会計手続システム」用サーバーの年間保守契約（継続）</v>
          </cell>
          <cell r="I186" t="str">
            <v>外務省大臣官房会計課長　上月豊久　東京都千代田区霞が関２－２－１</v>
          </cell>
          <cell r="J186">
            <v>38443</v>
          </cell>
          <cell r="K186">
            <v>2151597</v>
          </cell>
          <cell r="L186"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186" t="str">
            <v>見直しの余地があるもの</v>
          </cell>
          <cell r="N186" t="str">
            <v>競争入札へ移行（平成２０年度以降のシステムの再構築時に実施検討予定）</v>
          </cell>
          <cell r="P186" t="str">
            <v>民×</v>
          </cell>
          <cell r="Q186" t="str">
            <v>民</v>
          </cell>
          <cell r="S186" t="str">
            <v>民20①</v>
          </cell>
          <cell r="U186" t="str">
            <v>民</v>
          </cell>
          <cell r="Y186" t="str">
            <v>①</v>
          </cell>
          <cell r="AA186">
            <v>1700164</v>
          </cell>
          <cell r="AB186">
            <v>1</v>
          </cell>
          <cell r="AC186" t="str">
            <v>17W019</v>
          </cell>
          <cell r="AD186" t="str">
            <v>無指定</v>
          </cell>
          <cell r="AE186" t="str">
            <v>会</v>
          </cell>
          <cell r="AF186" t="str">
            <v>会計課調達室／サービス調達第３班</v>
          </cell>
          <cell r="AG186" t="str">
            <v>西村</v>
          </cell>
        </row>
        <row r="187">
          <cell r="A187" t="str">
            <v>民27</v>
          </cell>
          <cell r="B187">
            <v>333</v>
          </cell>
          <cell r="C187" t="str">
            <v>ｶﾌﾞﾘｺ</v>
          </cell>
          <cell r="E187">
            <v>27</v>
          </cell>
          <cell r="F187" t="str">
            <v>株式会社リコー</v>
          </cell>
          <cell r="G187" t="str">
            <v>東京都大田区中馬込１－３－６</v>
          </cell>
          <cell r="H187" t="str">
            <v>「旅費ネットワークシステム」一式の保守契約</v>
          </cell>
          <cell r="I187" t="str">
            <v>外務省大臣官房会計課長　上月豊久　東京都千代田区霞が関２－２－１</v>
          </cell>
          <cell r="J187">
            <v>38443</v>
          </cell>
          <cell r="K187">
            <v>5226900</v>
          </cell>
          <cell r="L187" t="str">
            <v>本システムは開発業者が著作権を有する旅費計算システムを当省の業務に合わせカスタマイズしたものであり、その保守・運用・改修等を行えるのは当該業者以外になく、他に競争を許さない（会計法第２９条の３第４項）。</v>
          </cell>
          <cell r="M187" t="str">
            <v>見直しの余地があるもの</v>
          </cell>
          <cell r="N187" t="str">
            <v>競争入札へ移行（平成２０年度以降のシステムの再構築時に実施予定）</v>
          </cell>
          <cell r="P187" t="str">
            <v>民×</v>
          </cell>
          <cell r="Q187" t="str">
            <v>民</v>
          </cell>
          <cell r="S187" t="str">
            <v>民20①</v>
          </cell>
          <cell r="U187" t="str">
            <v>民</v>
          </cell>
          <cell r="Y187" t="str">
            <v>①</v>
          </cell>
          <cell r="AA187">
            <v>1700200</v>
          </cell>
          <cell r="AB187">
            <v>1</v>
          </cell>
          <cell r="AC187" t="str">
            <v>17W037</v>
          </cell>
          <cell r="AD187" t="str">
            <v>無指定</v>
          </cell>
          <cell r="AE187" t="str">
            <v>会</v>
          </cell>
          <cell r="AF187" t="str">
            <v>会計課調達室／サービス調達第３班</v>
          </cell>
          <cell r="AG187" t="str">
            <v>西村</v>
          </cell>
          <cell r="AI187" t="str">
            <v>府省共通システム(SEABIS)の導入が平成２０年度から２２年度に延長となったため、同システム導入に伴い平成２２年度以降競争入札を実施。</v>
          </cell>
          <cell r="AJ187" t="str">
            <v>平成22年度</v>
          </cell>
        </row>
        <row r="188">
          <cell r="A188" t="str">
            <v>民28</v>
          </cell>
          <cell r="B188">
            <v>334</v>
          </cell>
          <cell r="C188" t="str">
            <v>ﾆﾎﾝﾋｭｰﾚｯﾄ</v>
          </cell>
          <cell r="E188">
            <v>28</v>
          </cell>
          <cell r="F188" t="str">
            <v>日本ヒューレット・パッカード株式会社</v>
          </cell>
          <cell r="G188" t="str">
            <v>東京都杉並区高井戸東３－２９－２１</v>
          </cell>
          <cell r="H188" t="str">
            <v>「電子入札・開札システム」のアプリケーション保守契約</v>
          </cell>
          <cell r="I188" t="str">
            <v>外務省大臣官房会計課長　上月豊久　東京都千代田区霞が関２－２－１</v>
          </cell>
          <cell r="J188">
            <v>38443</v>
          </cell>
          <cell r="K188">
            <v>5622744</v>
          </cell>
          <cell r="L188" t="str">
            <v>平成１５年度において一般競争入札にて調達した案件。システムの開発業者が、自社製品やカスタマイズされた独自の機器、システムを使用しているため、その保守・運用・改修等を行えるのは当該業者以外になく、他に競争を許さない（会計法第２９条の３第４項）。</v>
          </cell>
          <cell r="M188" t="str">
            <v>見直しの余地があるもの</v>
          </cell>
          <cell r="N188" t="str">
            <v>平成２０年度に予定している新システム導入以降は当該事務・事業の委託を行わない。</v>
          </cell>
          <cell r="P188" t="str">
            <v>民×</v>
          </cell>
          <cell r="Q188" t="str">
            <v>民</v>
          </cell>
          <cell r="S188" t="str">
            <v>民20×</v>
          </cell>
          <cell r="U188" t="str">
            <v>民</v>
          </cell>
          <cell r="Y188" t="str">
            <v>×</v>
          </cell>
          <cell r="AA188">
            <v>1700523</v>
          </cell>
          <cell r="AB188">
            <v>1</v>
          </cell>
          <cell r="AC188" t="str">
            <v>17W094</v>
          </cell>
          <cell r="AD188" t="str">
            <v>無指定</v>
          </cell>
          <cell r="AE188" t="str">
            <v>会</v>
          </cell>
          <cell r="AF188" t="str">
            <v>会計課調達室／サービス調達第３班</v>
          </cell>
          <cell r="AG188" t="str">
            <v>川上</v>
          </cell>
        </row>
        <row r="189">
          <cell r="A189" t="str">
            <v>民29</v>
          </cell>
          <cell r="B189">
            <v>335</v>
          </cell>
          <cell r="C189" t="str">
            <v>ｶﾌﾞﾘｺ</v>
          </cell>
          <cell r="E189">
            <v>29</v>
          </cell>
          <cell r="F189" t="str">
            <v>株式会社リコー</v>
          </cell>
          <cell r="G189" t="str">
            <v>東京都大田区中馬込１－３－６</v>
          </cell>
          <cell r="H189" t="str">
            <v>「物品管理システム」保守契約</v>
          </cell>
          <cell r="I189" t="str">
            <v>外務省大臣官房会計課長　上月豊久　東京都千代田区霞が関２－２－１</v>
          </cell>
          <cell r="J189">
            <v>38443</v>
          </cell>
          <cell r="K189">
            <v>3677100</v>
          </cell>
          <cell r="L189" t="str">
            <v>本システムの開発を行った会社が同システムの保守を行うものであり、競争を許さない（会計法第２９条の３第４項）。</v>
          </cell>
          <cell r="M189" t="str">
            <v>見直しの余地があるもの</v>
          </cell>
          <cell r="N189" t="str">
            <v>平成２０年度に予定している新システム導入以降は当該事務・事業の委託を行わない。</v>
          </cell>
          <cell r="P189" t="str">
            <v>民×</v>
          </cell>
          <cell r="Q189" t="str">
            <v>民</v>
          </cell>
          <cell r="S189" t="str">
            <v>民20×</v>
          </cell>
          <cell r="U189" t="str">
            <v>民</v>
          </cell>
          <cell r="Y189" t="str">
            <v>×</v>
          </cell>
          <cell r="AA189">
            <v>1700046</v>
          </cell>
          <cell r="AB189">
            <v>1</v>
          </cell>
          <cell r="AC189" t="str">
            <v>17W103</v>
          </cell>
          <cell r="AD189" t="str">
            <v>無指定</v>
          </cell>
          <cell r="AE189" t="str">
            <v>会</v>
          </cell>
          <cell r="AF189" t="str">
            <v>会計課調達室／物品調達班</v>
          </cell>
          <cell r="AG189" t="str">
            <v>知念</v>
          </cell>
          <cell r="AI189" t="str">
            <v>平成21年度に府省共通システムが導入される予定であり、データを新システムに移行した時点で本システムは廃止となる。</v>
          </cell>
          <cell r="AJ189" t="str">
            <v>平成21年度</v>
          </cell>
        </row>
        <row r="190">
          <cell r="A190" t="str">
            <v>民30</v>
          </cell>
          <cell r="B190">
            <v>336</v>
          </cell>
          <cell r="C190" t="str">
            <v>ｶﾌﾞﾎｳｿｳ</v>
          </cell>
          <cell r="E190">
            <v>30</v>
          </cell>
          <cell r="F190" t="str">
            <v>株式会社放送サービスセンター</v>
          </cell>
          <cell r="G190" t="str">
            <v>東京都新宿区本塩町９</v>
          </cell>
          <cell r="H190" t="str">
            <v>外務省庁舎内国際会議室「同時通訳設備及び音響・映像設備の運用」業務委託単価契約</v>
          </cell>
          <cell r="I190" t="str">
            <v>外務省大臣官房会計課長　上月豊久　東京都千代田区霞が関２－２－１</v>
          </cell>
          <cell r="J190">
            <v>38443</v>
          </cell>
          <cell r="K190">
            <v>4594485</v>
          </cell>
          <cell r="L190" t="str">
            <v>当省の国際会議室に設置の各種設備は外国製特注の機材が含まれ右取り扱いには特別なノウハウが必要であるところ、契約相手先は過去２０年以上に亘り本件業務を請負い、同社の技術者はその運用を熟知していることから、円滑な会議運営のため同社との契約は不可欠である（会計法第２９条の３第４項）。</v>
          </cell>
          <cell r="M190" t="str">
            <v>見直しの余地があるもの</v>
          </cell>
          <cell r="N190" t="str">
            <v>公募または競争入札に移行（１９年度より）</v>
          </cell>
          <cell r="O190" t="str">
            <v>単価契約</v>
          </cell>
          <cell r="P190" t="str">
            <v>民×</v>
          </cell>
          <cell r="Q190" t="str">
            <v>民</v>
          </cell>
          <cell r="S190" t="str">
            <v>民19②</v>
          </cell>
          <cell r="U190" t="str">
            <v>民</v>
          </cell>
          <cell r="X190" t="str">
            <v>①②</v>
          </cell>
          <cell r="AA190">
            <v>1700614</v>
          </cell>
          <cell r="AB190">
            <v>1</v>
          </cell>
          <cell r="AD190" t="str">
            <v>無指定</v>
          </cell>
          <cell r="AE190" t="str">
            <v>会</v>
          </cell>
          <cell r="AF190" t="str">
            <v>会計課調達室／サービス調達第２班</v>
          </cell>
          <cell r="AG190" t="str">
            <v>光山</v>
          </cell>
        </row>
        <row r="191">
          <cell r="A191" t="str">
            <v>民31</v>
          </cell>
          <cell r="B191">
            <v>337</v>
          </cell>
          <cell r="C191" t="str">
            <v>ﾌｨﾅﾝｼｬﾙ</v>
          </cell>
          <cell r="E191">
            <v>31</v>
          </cell>
          <cell r="F191" t="str">
            <v>フィナンシャル・タイムズ（ジャパン）リミテッド</v>
          </cell>
          <cell r="G191" t="str">
            <v>東京都千代田区内幸町１－１－７</v>
          </cell>
          <cell r="H191" t="str">
            <v>「ＦＩＮＡＮＣＩＡＬ　ＴＩＭＥＳ」購読契約</v>
          </cell>
          <cell r="I191" t="str">
            <v>外務省大臣官房会計課長　上月豊久　東京都千代田区霞が関２－２－１</v>
          </cell>
          <cell r="J191">
            <v>38443</v>
          </cell>
          <cell r="K191">
            <v>5140800</v>
          </cell>
          <cell r="L191" t="str">
            <v>当該新聞の本邦における販売元との契約であり、他に競争を許さない（会計法第２９条の３第４項）。</v>
          </cell>
          <cell r="M191" t="str">
            <v>その他のもの</v>
          </cell>
          <cell r="N191" t="str">
            <v>随意契約によらざるを得ないもの</v>
          </cell>
          <cell r="P191" t="str">
            <v>民×</v>
          </cell>
          <cell r="Q191" t="str">
            <v>民</v>
          </cell>
          <cell r="S191" t="str">
            <v>民1</v>
          </cell>
          <cell r="U191" t="str">
            <v>民</v>
          </cell>
          <cell r="V191" t="str">
            <v>●</v>
          </cell>
          <cell r="AA191">
            <v>1700324</v>
          </cell>
          <cell r="AB191">
            <v>1</v>
          </cell>
          <cell r="AC191" t="str">
            <v>17Q248</v>
          </cell>
          <cell r="AD191" t="str">
            <v>無指定</v>
          </cell>
          <cell r="AE191" t="str">
            <v>会</v>
          </cell>
          <cell r="AF191" t="str">
            <v>会計課調達室／政府調達班</v>
          </cell>
          <cell r="AG191" t="str">
            <v>加藤</v>
          </cell>
          <cell r="AI191" t="str">
            <v>行政目的を達成するために不可欠な情報の提供</v>
          </cell>
          <cell r="AJ191" t="str">
            <v>ニ（ヘ）</v>
          </cell>
        </row>
        <row r="192">
          <cell r="A192" t="str">
            <v>民32</v>
          </cell>
          <cell r="B192">
            <v>338</v>
          </cell>
          <cell r="C192" t="str">
            <v>ﾄｳｷｮｲｳﾑｾﾝ</v>
          </cell>
          <cell r="E192">
            <v>32</v>
          </cell>
          <cell r="F192" t="str">
            <v>東京無線協同組合他６社</v>
          </cell>
          <cell r="G192" t="str">
            <v>東京都杉並区高円寺北２－１－２０／他</v>
          </cell>
          <cell r="H192" t="str">
            <v>タクシー借り上げ（単価契約）</v>
          </cell>
          <cell r="I192" t="str">
            <v>外務省大臣官房会計課長　上月豊久　東京都千代田区霞が関２－２－１</v>
          </cell>
          <cell r="J192">
            <v>38443</v>
          </cell>
          <cell r="K192">
            <v>236811000</v>
          </cell>
          <cell r="L192" t="str">
            <v>認可料金による契約であり、他に競争を許さない（会計法第２９条の３第４項、特定政令に該当）。</v>
          </cell>
          <cell r="M192" t="str">
            <v>その他のもの</v>
          </cell>
          <cell r="N192" t="str">
            <v>随意契約によらざるを得ないもの</v>
          </cell>
          <cell r="O192" t="str">
            <v>単価契約</v>
          </cell>
          <cell r="P192" t="str">
            <v>民×</v>
          </cell>
          <cell r="Q192" t="str">
            <v>民</v>
          </cell>
          <cell r="S192" t="str">
            <v>民1</v>
          </cell>
          <cell r="U192" t="str">
            <v>民</v>
          </cell>
          <cell r="V192" t="str">
            <v>●</v>
          </cell>
          <cell r="AA192">
            <v>1700409</v>
          </cell>
          <cell r="AB192">
            <v>1</v>
          </cell>
          <cell r="AC192" t="str">
            <v>17W056</v>
          </cell>
          <cell r="AD192" t="str">
            <v>無指定</v>
          </cell>
          <cell r="AE192" t="str">
            <v>信</v>
          </cell>
          <cell r="AF192" t="str">
            <v>会計課調達室／サービス調達第３班</v>
          </cell>
          <cell r="AG192" t="str">
            <v>西村</v>
          </cell>
        </row>
        <row r="193">
          <cell r="A193" t="str">
            <v>民33</v>
          </cell>
          <cell r="B193">
            <v>339</v>
          </cell>
          <cell r="C193" t="str">
            <v>ﾆﾎﾝﾋｭｰﾚｯﾄ</v>
          </cell>
          <cell r="E193">
            <v>33</v>
          </cell>
          <cell r="F193" t="str">
            <v>日本ヒューレット・パッカード株式会社／
日本ＨＰファイナンシャルサービス株式会社</v>
          </cell>
          <cell r="G193" t="str">
            <v>東京都杉並区高井戸東３－２９－２１／
東京都千代田区五番町７</v>
          </cell>
          <cell r="H193" t="str">
            <v>電子入札・開札システム（機器一式の賃貸借・保守）</v>
          </cell>
          <cell r="I193" t="str">
            <v>外務省大臣官房会計課長　上月豊久　東京都千代田区霞が関２－２－１</v>
          </cell>
          <cell r="J193">
            <v>38443</v>
          </cell>
          <cell r="K193">
            <v>36328320</v>
          </cell>
          <cell r="L193" t="str">
            <v>平成１５年度に一般競争入札（契約期間平成１９年１１月３０日まで。但し契約自体は単年度）で契約した本件賃貸借契約の継続契約（会計法第２９条の３第４項、特定政令に該当）。</v>
          </cell>
          <cell r="M193" t="str">
            <v>見直しの余地があるもの</v>
          </cell>
          <cell r="N193" t="str">
            <v>平成２０年度に予定している新システム導入以降は当該事務・事業の委託を行わない。</v>
          </cell>
          <cell r="P193" t="str">
            <v>民×</v>
          </cell>
          <cell r="Q193" t="str">
            <v>民</v>
          </cell>
          <cell r="S193" t="str">
            <v>民20×</v>
          </cell>
          <cell r="U193" t="str">
            <v>民</v>
          </cell>
          <cell r="Y193" t="str">
            <v>×</v>
          </cell>
          <cell r="AA193">
            <v>1700520</v>
          </cell>
          <cell r="AB193">
            <v>1</v>
          </cell>
          <cell r="AC193" t="str">
            <v>17W060</v>
          </cell>
          <cell r="AD193" t="str">
            <v>無指定</v>
          </cell>
          <cell r="AE193" t="str">
            <v>会</v>
          </cell>
          <cell r="AF193" t="str">
            <v>会計課調達室／サービス調達第３班</v>
          </cell>
          <cell r="AG193" t="str">
            <v>川上</v>
          </cell>
        </row>
        <row r="194">
          <cell r="A194" t="str">
            <v>民34</v>
          </cell>
          <cell r="B194">
            <v>340</v>
          </cell>
          <cell r="C194" t="str">
            <v>ｴﾇﾃｨﾃｨｺﾐｭﾆｹ</v>
          </cell>
          <cell r="E194">
            <v>34</v>
          </cell>
          <cell r="F194" t="str">
            <v>ＮＴＴコミュニケーションズ株式会社</v>
          </cell>
          <cell r="G194" t="str">
            <v>東京都千代田区内幸町１－１－６</v>
          </cell>
          <cell r="H194" t="str">
            <v>電子入札・開札システム（データセンター借入等一式）</v>
          </cell>
          <cell r="I194" t="str">
            <v>外務省大臣官房会計課長　上月豊久　東京都千代田区霞が関２－２－１</v>
          </cell>
          <cell r="J194">
            <v>38443</v>
          </cell>
          <cell r="K194">
            <v>8822100</v>
          </cell>
          <cell r="L194" t="str">
            <v>平成１５年度に一般競争入札（契約期間平成１９年１１月３０日まで。但し契約自体は単年度）で契約した本件賃貸借契約の継続契約（会計法第２９条の３第４項、特定政令に該当）。</v>
          </cell>
          <cell r="M194" t="str">
            <v>見直しの余地があるもの</v>
          </cell>
          <cell r="N194" t="str">
            <v>平成２０年度に予定している新システム導入以降は当該事務・事業の委託を行わない。</v>
          </cell>
          <cell r="P194" t="str">
            <v>民×</v>
          </cell>
          <cell r="Q194" t="str">
            <v>民</v>
          </cell>
          <cell r="S194" t="str">
            <v>民20×</v>
          </cell>
          <cell r="U194" t="str">
            <v>民</v>
          </cell>
          <cell r="Y194" t="str">
            <v>×</v>
          </cell>
          <cell r="AA194">
            <v>1700521</v>
          </cell>
          <cell r="AB194">
            <v>1</v>
          </cell>
          <cell r="AC194" t="str">
            <v>17W077</v>
          </cell>
          <cell r="AD194" t="str">
            <v>無指定</v>
          </cell>
          <cell r="AE194" t="str">
            <v>会</v>
          </cell>
          <cell r="AF194" t="str">
            <v>会計課調達室／サービス調達第３班</v>
          </cell>
          <cell r="AG194" t="str">
            <v>川上</v>
          </cell>
        </row>
        <row r="195">
          <cell r="A195" t="str">
            <v>民35</v>
          </cell>
          <cell r="B195">
            <v>341</v>
          </cell>
          <cell r="C195" t="str">
            <v>ﾆﾎﾝﾋｭｰﾚｯﾄ</v>
          </cell>
          <cell r="E195">
            <v>35</v>
          </cell>
          <cell r="F195" t="str">
            <v>日本ＨＰファイナンシャルサービス株式会社</v>
          </cell>
          <cell r="G195" t="str">
            <v>東京都杉並区高井戸東３－２９－２１</v>
          </cell>
          <cell r="H195" t="str">
            <v>電子入札・開札システム（運用支援業務一式）</v>
          </cell>
          <cell r="I195" t="str">
            <v>外務省大臣官房会計課長　上月豊久　東京都千代田区霞が関２－２－１</v>
          </cell>
          <cell r="J195">
            <v>38443</v>
          </cell>
          <cell r="K195">
            <v>32651184</v>
          </cell>
          <cell r="L195" t="str">
            <v>平成１５年度において一般競争入札で調達した案件。本システムの開発を行った会社が同システムの保守を行うものであり、競争を許さない（会計法第２９条の３第４項、特定政令に該当）。</v>
          </cell>
          <cell r="M195" t="str">
            <v>見直しの余地があるもの</v>
          </cell>
          <cell r="N195" t="str">
            <v>平成２０年度に予定している新システム導入以降は当該事務・事業の委託を行わない。</v>
          </cell>
          <cell r="P195" t="str">
            <v>民×</v>
          </cell>
          <cell r="Q195" t="str">
            <v>民</v>
          </cell>
          <cell r="S195" t="str">
            <v>民20×</v>
          </cell>
          <cell r="U195" t="str">
            <v>民</v>
          </cell>
          <cell r="Y195" t="str">
            <v>×</v>
          </cell>
          <cell r="AA195">
            <v>1700522</v>
          </cell>
          <cell r="AB195">
            <v>1</v>
          </cell>
          <cell r="AC195" t="str">
            <v>17W062</v>
          </cell>
          <cell r="AD195" t="str">
            <v>無指定</v>
          </cell>
          <cell r="AE195" t="str">
            <v>会</v>
          </cell>
          <cell r="AF195" t="str">
            <v>会計課調達室／サービス調達第３班</v>
          </cell>
          <cell r="AG195" t="str">
            <v>川上</v>
          </cell>
          <cell r="AI195" t="str">
            <v>本システムは独自に開発されたシステムであり、開発元の業者と契約することが、経済的かつ合理的であり、第三者が新たに携わる場合、システムの動作保証に対する影響が強く懸念される。
なお、平成22年度に府省共通システムが導入される予定であり、データを新システムに移行した時点で本システムは廃止となる。</v>
          </cell>
          <cell r="AJ195" t="str">
            <v>平成22年度</v>
          </cell>
        </row>
        <row r="196">
          <cell r="A196" t="str">
            <v>民36</v>
          </cell>
          <cell r="B196">
            <v>342</v>
          </cell>
          <cell r="C196" t="str">
            <v>ﾆﾎﾝｺｳﾂｳ</v>
          </cell>
          <cell r="E196">
            <v>36</v>
          </cell>
          <cell r="F196" t="str">
            <v>日本交通株式会社他７社　</v>
          </cell>
          <cell r="G196" t="str">
            <v>東京都千代田区永田町１－１１－１／他</v>
          </cell>
          <cell r="H196" t="str">
            <v>ハイヤー借り上げ（単価契約）</v>
          </cell>
          <cell r="I196" t="str">
            <v>外務省大臣官房会計課長　上月豊久　東京都千代田区霞が関２－２－１</v>
          </cell>
          <cell r="J196">
            <v>38443</v>
          </cell>
          <cell r="K196">
            <v>5341000</v>
          </cell>
          <cell r="L196" t="str">
            <v>認可料金による契約であり、他に競争を許さない（会計法第２９条の３第４項、特定政令に該当）。</v>
          </cell>
          <cell r="M196" t="str">
            <v>その他のもの</v>
          </cell>
          <cell r="N196" t="str">
            <v>随意契約によらざるを得ないもの</v>
          </cell>
          <cell r="O196" t="str">
            <v>単価契約</v>
          </cell>
          <cell r="P196" t="str">
            <v>民×</v>
          </cell>
          <cell r="Q196" t="str">
            <v>民</v>
          </cell>
          <cell r="S196" t="str">
            <v>民1</v>
          </cell>
          <cell r="U196" t="str">
            <v>民</v>
          </cell>
          <cell r="V196" t="str">
            <v>●</v>
          </cell>
          <cell r="AA196">
            <v>1700633</v>
          </cell>
          <cell r="AB196">
            <v>1</v>
          </cell>
          <cell r="AD196" t="str">
            <v>無指定</v>
          </cell>
          <cell r="AE196" t="str">
            <v>会</v>
          </cell>
          <cell r="AF196" t="str">
            <v>会計課調達室／サービス調達第２班</v>
          </cell>
          <cell r="AG196" t="str">
            <v>光山</v>
          </cell>
        </row>
        <row r="197">
          <cell r="A197" t="str">
            <v>民37</v>
          </cell>
          <cell r="B197">
            <v>343</v>
          </cell>
          <cell r="C197" t="str">
            <v>ｶﾌﾞｴﾇﾃｨﾃｨﾃﾞｰﾀ</v>
          </cell>
          <cell r="E197">
            <v>37</v>
          </cell>
          <cell r="F197" t="str">
            <v>株式会社エヌ・ティ・ティ・データ</v>
          </cell>
          <cell r="G197" t="str">
            <v>東京新宿区西五軒町１３－１</v>
          </cell>
          <cell r="H197" t="str">
            <v>「無償資金管理システム」の保守契約</v>
          </cell>
          <cell r="I197" t="str">
            <v>外務省大臣官房会計課長　上月豊久　東京都千代田区霞が関２－２－１</v>
          </cell>
          <cell r="J197">
            <v>38443</v>
          </cell>
          <cell r="K197">
            <v>1249500</v>
          </cell>
          <cell r="L197"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197" t="str">
            <v>見直しの余地があるもの</v>
          </cell>
          <cell r="N197" t="str">
            <v>１８年度において当該事務・事業の委託等を実施する予定はない</v>
          </cell>
          <cell r="P197" t="str">
            <v>民×</v>
          </cell>
          <cell r="Q197" t="str">
            <v>民</v>
          </cell>
          <cell r="S197" t="str">
            <v>民18×</v>
          </cell>
          <cell r="U197" t="str">
            <v>民</v>
          </cell>
          <cell r="W197" t="str">
            <v>×</v>
          </cell>
          <cell r="AA197">
            <v>1700494</v>
          </cell>
          <cell r="AB197">
            <v>1</v>
          </cell>
          <cell r="AC197" t="str">
            <v>17W091</v>
          </cell>
          <cell r="AD197" t="str">
            <v>無指定</v>
          </cell>
          <cell r="AE197" t="str">
            <v>会</v>
          </cell>
          <cell r="AF197" t="str">
            <v>会計課調達室／サービス調達第３班</v>
          </cell>
          <cell r="AG197" t="str">
            <v>西村</v>
          </cell>
        </row>
        <row r="198">
          <cell r="A198" t="str">
            <v>民38</v>
          </cell>
          <cell r="B198">
            <v>344</v>
          </cell>
          <cell r="C198" t="str">
            <v>ｶﾃﾅ</v>
          </cell>
          <cell r="E198">
            <v>38</v>
          </cell>
          <cell r="F198" t="str">
            <v>カテナ株式会社</v>
          </cell>
          <cell r="G198" t="str">
            <v>東京都江東区潮見２－１０－２４</v>
          </cell>
          <cell r="H198" t="str">
            <v>コンピュータ入力データ作成業務契約</v>
          </cell>
          <cell r="I198" t="str">
            <v>外務省大臣官房会計課長　上月豊久　東京都千代田区霞が関２－２－１</v>
          </cell>
          <cell r="J198">
            <v>38443</v>
          </cell>
          <cell r="K198">
            <v>6328476</v>
          </cell>
          <cell r="L198" t="str">
            <v>現ホストコンピュータ導入の際、一般競争入札により契約した業者であり、ホストコンピュータを利用する業務システムに精通する同社との契約は業務効率性の観点からも欠く事はできず、他に競争を許さない（会計法第２９条の３第４項）。</v>
          </cell>
          <cell r="M198" t="str">
            <v>見直しの余地があるもの</v>
          </cell>
          <cell r="N198" t="str">
            <v>競争入札、企画招請もしくは公募に移行を検討(１９年度)</v>
          </cell>
          <cell r="P198" t="str">
            <v>民×</v>
          </cell>
          <cell r="Q198" t="str">
            <v>民</v>
          </cell>
          <cell r="S198" t="str">
            <v>民19②</v>
          </cell>
          <cell r="U198" t="str">
            <v>民</v>
          </cell>
          <cell r="X198" t="str">
            <v>①②</v>
          </cell>
          <cell r="AA198">
            <v>1700398</v>
          </cell>
          <cell r="AB198">
            <v>1</v>
          </cell>
          <cell r="AC198" t="str">
            <v>17G054</v>
          </cell>
          <cell r="AD198" t="str">
            <v>無指定</v>
          </cell>
          <cell r="AE198" t="str">
            <v>官情</v>
          </cell>
          <cell r="AF198" t="str">
            <v>会計課調達室／サービス調達第３班</v>
          </cell>
          <cell r="AG198" t="str">
            <v>西村</v>
          </cell>
        </row>
        <row r="199">
          <cell r="A199" t="str">
            <v>民39</v>
          </cell>
          <cell r="B199">
            <v>345</v>
          </cell>
          <cell r="C199" t="str">
            <v>ｼﾝﾆｯﾃﾂ</v>
          </cell>
          <cell r="E199">
            <v>39</v>
          </cell>
          <cell r="F199" t="str">
            <v>新日鉄ソリューションズ株式会社</v>
          </cell>
          <cell r="G199" t="str">
            <v>東京都中央区新川２－２０－１５</v>
          </cell>
          <cell r="H199" t="str">
            <v>「他省庁への電子文書配布システム」の保守契約</v>
          </cell>
          <cell r="I199" t="str">
            <v>外務省大臣官房会計課長　上月豊久　東京都千代田区霞が関２－２－１</v>
          </cell>
          <cell r="J199">
            <v>38443</v>
          </cell>
          <cell r="K199">
            <v>1009234</v>
          </cell>
          <cell r="L199"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199" t="str">
            <v>見直しの余地があるもの</v>
          </cell>
          <cell r="N199" t="str">
            <v>競争入札へ移行（平成２０年度以降のシステムの再構築時に移行予定）</v>
          </cell>
          <cell r="P199" t="str">
            <v>民×</v>
          </cell>
          <cell r="Q199" t="str">
            <v>民</v>
          </cell>
          <cell r="S199" t="str">
            <v>民20①</v>
          </cell>
          <cell r="U199" t="str">
            <v>民</v>
          </cell>
          <cell r="Y199" t="str">
            <v>①</v>
          </cell>
          <cell r="AA199">
            <v>1700166</v>
          </cell>
          <cell r="AB199">
            <v>1</v>
          </cell>
          <cell r="AC199" t="str">
            <v>17W054</v>
          </cell>
          <cell r="AD199" t="str">
            <v>無指定</v>
          </cell>
          <cell r="AE199" t="str">
            <v>官情</v>
          </cell>
          <cell r="AF199" t="str">
            <v>会計課調達室／サービス調達第３班</v>
          </cell>
          <cell r="AG199" t="str">
            <v>川上</v>
          </cell>
        </row>
        <row r="200">
          <cell r="A200" t="str">
            <v>民40</v>
          </cell>
          <cell r="B200">
            <v>346</v>
          </cell>
          <cell r="C200" t="str">
            <v>ｾﾝﾁｪﾘｰ</v>
          </cell>
          <cell r="E200">
            <v>40</v>
          </cell>
          <cell r="F200" t="str">
            <v>センチュリー・リーシング・システム株式会社</v>
          </cell>
          <cell r="G200" t="str">
            <v>東京都港区浜松町２―４―１</v>
          </cell>
          <cell r="H200" t="str">
            <v>「在外経理システム」機器一式の賃貸借契約</v>
          </cell>
          <cell r="I200" t="str">
            <v>外務省大臣官房会計課長　上月豊久　東京都千代田区霞が関２－２－１</v>
          </cell>
          <cell r="J200">
            <v>38443</v>
          </cell>
          <cell r="K200">
            <v>7240542</v>
          </cell>
          <cell r="L200" t="str">
            <v>複数年のリース契約終了後、新システム導入までの間引き続きリース契約をおこなったもの。当該契約者以外に履行させることは価格面においても不利になる事から他に競争を許さない（会計法第２９条の３第４項）。</v>
          </cell>
          <cell r="M200" t="str">
            <v>見直しの余地があるもの</v>
          </cell>
          <cell r="N200" t="str">
            <v>競争入札へ移行（１９年度。国庫債務負担行為適用予定）</v>
          </cell>
          <cell r="O200" t="str">
            <v>H19～：国庫債務負担公有為</v>
          </cell>
          <cell r="P200" t="str">
            <v>民×</v>
          </cell>
          <cell r="Q200" t="str">
            <v>民</v>
          </cell>
          <cell r="S200" t="str">
            <v>民19①</v>
          </cell>
          <cell r="U200" t="str">
            <v>民</v>
          </cell>
          <cell r="X200" t="str">
            <v>①</v>
          </cell>
          <cell r="AA200">
            <v>1700395</v>
          </cell>
          <cell r="AB200">
            <v>1</v>
          </cell>
          <cell r="AC200" t="str">
            <v>17M008</v>
          </cell>
          <cell r="AD200" t="str">
            <v>無指定</v>
          </cell>
          <cell r="AE200" t="str">
            <v>官情</v>
          </cell>
          <cell r="AF200" t="str">
            <v>会計課調達室／サービス調達第３班</v>
          </cell>
          <cell r="AG200" t="str">
            <v>川上</v>
          </cell>
        </row>
        <row r="201">
          <cell r="A201" t="str">
            <v>民41</v>
          </cell>
          <cell r="B201">
            <v>347</v>
          </cell>
          <cell r="C201" t="str">
            <v>ｶﾌﾞｹｰﾃﾞｰｼｰ</v>
          </cell>
          <cell r="E201">
            <v>41</v>
          </cell>
          <cell r="F201" t="str">
            <v>株式会社ケー・デー・シー</v>
          </cell>
          <cell r="G201" t="str">
            <v>東京都渋谷区笹塚１－６２－３</v>
          </cell>
          <cell r="H201" t="str">
            <v>パソコン運用・保守支援業務契約（4月～5月）</v>
          </cell>
          <cell r="I201" t="str">
            <v>外務省大臣官房会計課長　上月豊久　東京都千代田区霞が関２－２－１</v>
          </cell>
          <cell r="J201">
            <v>38443</v>
          </cell>
          <cell r="K201">
            <v>3608718</v>
          </cell>
          <cell r="L201" t="str">
            <v>複数年のリース契約終了後、新システム導入までの間引き続きリース契約をおこなったもの。当該契約者以外に履行させることは価格面においても不利になる事から他に競争を許さない（会計法第２９条の３第４項）。</v>
          </cell>
          <cell r="M201" t="str">
            <v>見直しの余地があるもの</v>
          </cell>
          <cell r="N201" t="str">
            <v>競争入札へ移行（１９年度。国庫債務負担行為適用予定）</v>
          </cell>
          <cell r="O201" t="str">
            <v>H19～：国庫債務負担公有為</v>
          </cell>
          <cell r="P201" t="str">
            <v>民×</v>
          </cell>
          <cell r="Q201" t="str">
            <v>民</v>
          </cell>
          <cell r="S201" t="str">
            <v>民19①</v>
          </cell>
          <cell r="U201" t="str">
            <v>民</v>
          </cell>
          <cell r="X201" t="str">
            <v>①</v>
          </cell>
          <cell r="AA201">
            <v>1700394</v>
          </cell>
          <cell r="AB201">
            <v>1</v>
          </cell>
          <cell r="AC201" t="str">
            <v>17W043</v>
          </cell>
          <cell r="AD201" t="str">
            <v>無指定</v>
          </cell>
          <cell r="AE201" t="str">
            <v>官情</v>
          </cell>
          <cell r="AF201" t="str">
            <v>会計課調達室／サービス調達第３班</v>
          </cell>
          <cell r="AG201" t="str">
            <v>川上</v>
          </cell>
        </row>
        <row r="202">
          <cell r="A202" t="str">
            <v>民42</v>
          </cell>
          <cell r="B202">
            <v>348</v>
          </cell>
          <cell r="C202" t="str">
            <v>ﾆﾎﾝﾃﾚｺﾑ</v>
          </cell>
          <cell r="E202">
            <v>42</v>
          </cell>
          <cell r="F202" t="str">
            <v>日本テレコム株式会社</v>
          </cell>
          <cell r="G202" t="str">
            <v>東京都港区東新橋１－６－１</v>
          </cell>
          <cell r="H202" t="str">
            <v>インターネットプロバイダー契約（継続）</v>
          </cell>
          <cell r="I202" t="str">
            <v>外務省大臣官房会計課長　上月豊久　東京都千代田区霞が関２－２－１</v>
          </cell>
          <cell r="J202">
            <v>38443</v>
          </cell>
          <cell r="K202">
            <v>8656200</v>
          </cell>
          <cell r="L202" t="str">
            <v>プロバイダーの変更は初期工事費用や工事期間を必要とする事から経済性及び業務効率性の面からも支障がある。安定したインターネット環境を確保するため引き続き同社との契約が不可欠であり、他に競争を許さない（会計法第２９条の３第４項）。</v>
          </cell>
          <cell r="M202" t="str">
            <v>見直しの余地があるもの</v>
          </cell>
          <cell r="N202" t="str">
            <v>競争入札へ移行(平成２０年度以降を予定）</v>
          </cell>
          <cell r="P202" t="str">
            <v>民×</v>
          </cell>
          <cell r="Q202" t="str">
            <v>民</v>
          </cell>
          <cell r="S202" t="str">
            <v>民19①</v>
          </cell>
          <cell r="U202" t="str">
            <v>民</v>
          </cell>
          <cell r="X202" t="str">
            <v>①</v>
          </cell>
          <cell r="AA202">
            <v>1700198</v>
          </cell>
          <cell r="AB202">
            <v>1</v>
          </cell>
          <cell r="AC202" t="str">
            <v>17W042</v>
          </cell>
          <cell r="AD202" t="str">
            <v>無指定</v>
          </cell>
          <cell r="AE202" t="str">
            <v>官情</v>
          </cell>
          <cell r="AF202" t="str">
            <v>会計課調達室／サービス調達第３班</v>
          </cell>
          <cell r="AG202" t="str">
            <v>西村</v>
          </cell>
          <cell r="AI202" t="str">
            <v>契約方式：一般競争入札
契約予定期間：  長期継続契約締結予定
(H21.01.26回答）
専用線等の新規敷設・配線工事等は相当な経費負担が見込まれるところ、引き続き既存配線を使用することがインターネットサービスの安定供給が可能なため。
　外務省ネットワーク最適化計画に基づき、競争性のある契約方式に移行する予定。</v>
          </cell>
          <cell r="AJ202" t="str">
            <v>平成２０年度末
(H21.01.26回答）
移行済み</v>
          </cell>
        </row>
        <row r="203">
          <cell r="A203" t="str">
            <v>民43</v>
          </cell>
          <cell r="B203">
            <v>349</v>
          </cell>
          <cell r="C203" t="str">
            <v>ﾆｯｹｲﾒｲﾃﾞｱ</v>
          </cell>
          <cell r="E203">
            <v>43</v>
          </cell>
          <cell r="F203" t="str">
            <v>日経メディアマーケティング株式会社</v>
          </cell>
          <cell r="G203" t="str">
            <v>東京都千代田区大手町１－９－１</v>
          </cell>
          <cell r="H203" t="str">
            <v>「日経テレコン２１」利用契約</v>
          </cell>
          <cell r="I203" t="str">
            <v>外務省大臣官房会計課長　上月豊久　東京都千代田区霞が関２－２－１</v>
          </cell>
          <cell r="J203">
            <v>38443</v>
          </cell>
          <cell r="K203">
            <v>2091600</v>
          </cell>
          <cell r="L203" t="str">
            <v>当該データベースの運営・提供を行う同社と契約を行うものであり、他に競争を許さない（会計法第２９条の３第４項）。</v>
          </cell>
          <cell r="M203" t="str">
            <v>見直しの余地があるもの</v>
          </cell>
          <cell r="N203" t="str">
            <v>平成１８年１０月末日をもって契約終了</v>
          </cell>
          <cell r="P203" t="str">
            <v>民×</v>
          </cell>
          <cell r="Q203" t="str">
            <v>民</v>
          </cell>
          <cell r="S203" t="str">
            <v>民18×</v>
          </cell>
          <cell r="U203" t="str">
            <v>民</v>
          </cell>
          <cell r="W203" t="str">
            <v>×</v>
          </cell>
          <cell r="AA203">
            <v>1700459</v>
          </cell>
          <cell r="AB203">
            <v>1</v>
          </cell>
          <cell r="AC203" t="str">
            <v>17W204</v>
          </cell>
          <cell r="AD203" t="str">
            <v>無指定</v>
          </cell>
          <cell r="AE203" t="str">
            <v>官情</v>
          </cell>
          <cell r="AF203" t="str">
            <v>会計課調達室／サービス調達第１班</v>
          </cell>
          <cell r="AG203" t="str">
            <v>竹澤</v>
          </cell>
        </row>
        <row r="204">
          <cell r="A204" t="str">
            <v>民44</v>
          </cell>
          <cell r="B204">
            <v>350</v>
          </cell>
          <cell r="C204" t="str">
            <v>ｴﾇﾃｨﾃｨｺﾐｭﾆｹ</v>
          </cell>
          <cell r="E204">
            <v>44</v>
          </cell>
          <cell r="F204" t="str">
            <v>エヌ・ティ・ティ・コムウェア株式会社</v>
          </cell>
          <cell r="G204" t="str">
            <v>東京都港区港南１－９－１</v>
          </cell>
          <cell r="H204" t="str">
            <v>「条約等国際約束検索システム」の保守契約</v>
          </cell>
          <cell r="I204" t="str">
            <v>外務省大臣官房会計課長　上月豊久　東京都千代田区霞が関２－２－１</v>
          </cell>
          <cell r="J204">
            <v>38443</v>
          </cell>
          <cell r="K204">
            <v>3040632</v>
          </cell>
          <cell r="L204"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204" t="str">
            <v>見直しの余地があるもの</v>
          </cell>
          <cell r="N204" t="str">
            <v>平成１８年度以降において当該事務・事業の委託等を実施しない</v>
          </cell>
          <cell r="P204" t="str">
            <v>民×</v>
          </cell>
          <cell r="Q204" t="str">
            <v>民</v>
          </cell>
          <cell r="S204" t="str">
            <v>民18×</v>
          </cell>
          <cell r="U204" t="str">
            <v>民</v>
          </cell>
          <cell r="W204" t="str">
            <v>×</v>
          </cell>
          <cell r="AA204">
            <v>1700452</v>
          </cell>
          <cell r="AB204">
            <v>1</v>
          </cell>
          <cell r="AC204" t="str">
            <v>17W057</v>
          </cell>
          <cell r="AD204" t="str">
            <v>無指定</v>
          </cell>
          <cell r="AE204" t="str">
            <v>官情</v>
          </cell>
          <cell r="AF204" t="str">
            <v>会計課調達室／サービス調達第３班</v>
          </cell>
          <cell r="AG204" t="str">
            <v>川上</v>
          </cell>
        </row>
        <row r="205">
          <cell r="A205" t="str">
            <v>民45</v>
          </cell>
          <cell r="B205">
            <v>351</v>
          </cell>
          <cell r="C205" t="str">
            <v>ｼﾝﾆｯﾃﾂ</v>
          </cell>
          <cell r="E205">
            <v>45</v>
          </cell>
          <cell r="F205" t="str">
            <v>新日鉄ソリューションズ株式会社</v>
          </cell>
          <cell r="G205" t="str">
            <v>東京都中央区新川２－２０－１５</v>
          </cell>
          <cell r="H205" t="str">
            <v>「各省庁電子文書交換システム」一式の賃貸借・保守契約（期間延長）</v>
          </cell>
          <cell r="I205" t="str">
            <v>外務省大臣官房会計課長　上月豊久　東京都千代田区霞が関２－２－１</v>
          </cell>
          <cell r="J205">
            <v>38443</v>
          </cell>
          <cell r="K205">
            <v>5915700</v>
          </cell>
          <cell r="L205"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205" t="str">
            <v>見直しの余地があるもの</v>
          </cell>
          <cell r="N205" t="str">
            <v>平成２０年度以降において当該事務、事業の委託を実施しない</v>
          </cell>
          <cell r="P205" t="str">
            <v>民×</v>
          </cell>
          <cell r="Q205" t="str">
            <v>民</v>
          </cell>
          <cell r="S205" t="str">
            <v>民20×</v>
          </cell>
          <cell r="U205" t="str">
            <v>民</v>
          </cell>
          <cell r="Y205" t="str">
            <v>×</v>
          </cell>
          <cell r="AA205">
            <v>1700165</v>
          </cell>
          <cell r="AB205">
            <v>1</v>
          </cell>
          <cell r="AC205" t="str">
            <v>17M020</v>
          </cell>
          <cell r="AD205" t="str">
            <v>無指定</v>
          </cell>
          <cell r="AE205" t="str">
            <v>官情</v>
          </cell>
          <cell r="AF205" t="str">
            <v>会計課調達室／サービス調達第３班</v>
          </cell>
          <cell r="AG205" t="str">
            <v>川上</v>
          </cell>
        </row>
        <row r="206">
          <cell r="A206" t="str">
            <v>民46</v>
          </cell>
          <cell r="B206">
            <v>352</v>
          </cell>
          <cell r="C206" t="str">
            <v>ｼﾝﾆｯﾃﾂ</v>
          </cell>
          <cell r="E206">
            <v>46</v>
          </cell>
          <cell r="F206" t="str">
            <v>新日鉄ソリューションズ株式会社</v>
          </cell>
          <cell r="G206" t="str">
            <v>東京都中央区新川２－２０－１５</v>
          </cell>
          <cell r="H206" t="str">
            <v>総合的文書管理システムに係る保守契約作業契約</v>
          </cell>
          <cell r="I206" t="str">
            <v xml:space="preserve">
外務省大臣官房会計課長　上月豊久
東京都千代田区霞が関２－２－１</v>
          </cell>
          <cell r="J206">
            <v>38443</v>
          </cell>
          <cell r="K206">
            <v>21664440</v>
          </cell>
          <cell r="L206" t="str">
            <v>当初一般競争入札により調達した当該システムの製造元である同社が同システムの保守を行うものであり、競争を許さない（会計法第２９条の３第４項、特例政令に該当）。</v>
          </cell>
          <cell r="M206" t="str">
            <v>見直しの余地があるもの</v>
          </cell>
          <cell r="N206" t="str">
            <v>競争入札へ移行（平成２０年度以降のシステムの再構築時に実施予定）</v>
          </cell>
          <cell r="P206" t="str">
            <v>民×</v>
          </cell>
          <cell r="Q206" t="str">
            <v>民</v>
          </cell>
          <cell r="S206" t="str">
            <v>民20①</v>
          </cell>
          <cell r="U206" t="str">
            <v>民</v>
          </cell>
          <cell r="Y206" t="str">
            <v>①</v>
          </cell>
          <cell r="AA206">
            <v>1700158</v>
          </cell>
          <cell r="AB206">
            <v>1</v>
          </cell>
          <cell r="AC206" t="str">
            <v>17W071</v>
          </cell>
          <cell r="AD206" t="str">
            <v>無指定</v>
          </cell>
          <cell r="AE206" t="str">
            <v>官情</v>
          </cell>
          <cell r="AF206" t="str">
            <v>会計課調達室／サービス調達第３班</v>
          </cell>
          <cell r="AG206" t="str">
            <v>川上</v>
          </cell>
        </row>
        <row r="207">
          <cell r="A207" t="str">
            <v>民47</v>
          </cell>
          <cell r="B207">
            <v>353</v>
          </cell>
          <cell r="C207" t="str">
            <v>ｶﾌﾞﾋﾀﾁｾｲｻｸ</v>
          </cell>
          <cell r="E207">
            <v>47</v>
          </cell>
          <cell r="F207" t="str">
            <v xml:space="preserve">株式会社日立製作所
</v>
          </cell>
          <cell r="G207" t="str">
            <v>東京都江東区新砂１－６－２７</v>
          </cell>
          <cell r="H207" t="str">
            <v>メインフレームシステム</v>
          </cell>
          <cell r="I207" t="str">
            <v xml:space="preserve">
外務省大臣官房会計課長　上月豊久
東京都千代田区霞が関２－２－１</v>
          </cell>
          <cell r="J207">
            <v>38443</v>
          </cell>
          <cell r="K207">
            <v>202814748</v>
          </cell>
          <cell r="L207" t="str">
            <v>平成１２年度において一般競争入札により落札した業者と契約したものであり、当該機器の賃貸借契約を継続して行うもの（会計法第２９条の３第４項、特例政令に該当）。</v>
          </cell>
          <cell r="M207" t="str">
            <v>見直しの余地があるもの</v>
          </cell>
          <cell r="N207" t="str">
            <v>競争入札へ移行（ホストコンピュータからオープン化する平成２１年以降実施予定）</v>
          </cell>
          <cell r="P207" t="str">
            <v>民×</v>
          </cell>
          <cell r="Q207" t="str">
            <v>民</v>
          </cell>
          <cell r="S207" t="str">
            <v>民21①</v>
          </cell>
          <cell r="U207" t="str">
            <v>民</v>
          </cell>
          <cell r="Z207" t="str">
            <v>①</v>
          </cell>
          <cell r="AA207">
            <v>1700354</v>
          </cell>
          <cell r="AB207">
            <v>1</v>
          </cell>
          <cell r="AC207" t="str">
            <v>17M025</v>
          </cell>
          <cell r="AD207" t="str">
            <v>取扱注意</v>
          </cell>
          <cell r="AE207" t="str">
            <v>官情</v>
          </cell>
          <cell r="AF207" t="str">
            <v>会計課調達室／サービス調達第３班</v>
          </cell>
          <cell r="AG207" t="str">
            <v>西村</v>
          </cell>
          <cell r="AI207" t="str">
            <v>平成20年度は、ホストコンピュータ（メインフレーム）上で稼働する業務・システムをオープン環境へ移植する作業を行っているため。同作業完了後に競争性のある契約方式に移行する予定。</v>
          </cell>
          <cell r="AJ207" t="str">
            <v>平成２２年３月</v>
          </cell>
        </row>
        <row r="208">
          <cell r="A208" t="str">
            <v>民48</v>
          </cell>
          <cell r="B208">
            <v>354</v>
          </cell>
          <cell r="C208" t="str">
            <v>ｶﾌﾞﾆｯｾｲ</v>
          </cell>
          <cell r="E208">
            <v>48</v>
          </cell>
          <cell r="F208" t="str">
            <v>株式会社ニッセイコム／
日立キャピタル株式会社/</v>
          </cell>
          <cell r="G208" t="str">
            <v>東京都品川区大井１－４７－１／
東京都港区西新橋２－１５－１２</v>
          </cell>
          <cell r="H208" t="str">
            <v>平成１５年度調達パソコン・プリンタに係る経費</v>
          </cell>
          <cell r="I208" t="str">
            <v xml:space="preserve">
外務省大臣官房会計課長　上月豊久
東京都千代田区霞が関２－２－１</v>
          </cell>
          <cell r="J208">
            <v>38443</v>
          </cell>
          <cell r="K208">
            <v>187670856</v>
          </cell>
          <cell r="L208" t="str">
            <v>平成１５年度に一般競争入札（賃貸期間４８ヶ月。但し契約自体は単年度）で導入した省内ＬＡＮ用パソコン・プリンタ等の継続契約（会計法第２９条の３第４項、特例政令に該当）。</v>
          </cell>
          <cell r="M208" t="str">
            <v>見直しの余地があるもの</v>
          </cell>
          <cell r="N208" t="str">
            <v>競争入札へ移行（平成２０年度）</v>
          </cell>
          <cell r="P208" t="str">
            <v>民×</v>
          </cell>
          <cell r="Q208" t="str">
            <v>民</v>
          </cell>
          <cell r="S208" t="str">
            <v>民20①</v>
          </cell>
          <cell r="U208" t="str">
            <v>民</v>
          </cell>
          <cell r="Y208" t="str">
            <v>①</v>
          </cell>
          <cell r="AA208">
            <v>1700351</v>
          </cell>
          <cell r="AB208">
            <v>1</v>
          </cell>
          <cell r="AC208" t="str">
            <v>17W046</v>
          </cell>
          <cell r="AD208" t="str">
            <v>無指定</v>
          </cell>
          <cell r="AE208" t="str">
            <v>官情</v>
          </cell>
          <cell r="AF208" t="str">
            <v>会計課調達室／サービス調達第３班</v>
          </cell>
          <cell r="AG208" t="str">
            <v>川上</v>
          </cell>
          <cell r="AI208" t="str">
            <v>１．本省分　　
 契約方式：一般競争入札
 契約予定期間：４年
２．在外分
  当該機器等は今後も一定期間は業務上の使用に耐えられるところ、引き続き現行機器を賃貸借することが同等物件の新規調 達に比べ割安であるため。
（H21.01.26回答）
１．本省分： 契約期間満了後、競争性のある契約方式に移行する予定。
２．在外分： 当該機器等は今後も一定期間は業務上の使用に耐えられるところ、引き続き現行機器を賃貸借することが同等物件の新規調達に比べ割安であるため。</v>
          </cell>
          <cell r="AJ208" t="str">
            <v>１．本省分
平成２０年度末
２．在外分
平成２１年度中
（H21.01.26回答）
１．本省分
実施済み
２．在外分
平成２２から２３年度中</v>
          </cell>
        </row>
        <row r="209">
          <cell r="A209" t="str">
            <v>民49</v>
          </cell>
          <cell r="B209">
            <v>355</v>
          </cell>
          <cell r="C209" t="str">
            <v>ｶﾌﾞﾋﾀﾁｾｲｻｸ</v>
          </cell>
          <cell r="E209">
            <v>49</v>
          </cell>
          <cell r="F209" t="str">
            <v>株式会社　日立製作所</v>
          </cell>
          <cell r="G209" t="str">
            <v>東京都江東区新砂１－６－２７</v>
          </cell>
          <cell r="H209" t="str">
            <v>各種プログラム機能強化</v>
          </cell>
          <cell r="I209" t="str">
            <v xml:space="preserve">
外務省大臣官房会計課長　上月豊久
東京都千代田区霞が関２－２－１</v>
          </cell>
          <cell r="J209">
            <v>38443</v>
          </cell>
          <cell r="K209">
            <v>32583600</v>
          </cell>
          <cell r="L209" t="str">
            <v>ホストコンピュータおよび各種システムを開発した同社に対しソフトウェアの改造業務を委託するもの（会計法第２９条の３第４項、特例政令に該当）。</v>
          </cell>
          <cell r="M209" t="str">
            <v>見直しの余地があるもの</v>
          </cell>
          <cell r="N209" t="str">
            <v>競争入札、企画招請もしくは公募に移行を検討（平成１９年度）</v>
          </cell>
          <cell r="P209" t="str">
            <v>民×</v>
          </cell>
          <cell r="Q209" t="str">
            <v>民</v>
          </cell>
          <cell r="S209" t="str">
            <v>民19①</v>
          </cell>
          <cell r="U209" t="str">
            <v>民</v>
          </cell>
          <cell r="X209" t="str">
            <v>①</v>
          </cell>
          <cell r="AA209">
            <v>1700381</v>
          </cell>
          <cell r="AB209">
            <v>1</v>
          </cell>
          <cell r="AC209" t="str">
            <v>17M144</v>
          </cell>
          <cell r="AD209" t="str">
            <v>無指定</v>
          </cell>
          <cell r="AE209" t="str">
            <v>官情</v>
          </cell>
          <cell r="AF209" t="str">
            <v>会計課調達室／サービス調達第３班</v>
          </cell>
          <cell r="AG209" t="str">
            <v>川上</v>
          </cell>
          <cell r="AI209" t="str">
            <v>平成20年度は、プログラムの再構築（オープン環境への移植）作業を行っているため。同作業完了後に競争性のある契約方式へ移行する予定。</v>
          </cell>
          <cell r="AJ209" t="str">
            <v>平成２２年３月</v>
          </cell>
        </row>
        <row r="210">
          <cell r="A210" t="str">
            <v>民50</v>
          </cell>
          <cell r="B210">
            <v>356</v>
          </cell>
          <cell r="C210" t="str">
            <v>ｶﾌﾞｴﾇﾃﾞｰﾃﾞｰ</v>
          </cell>
          <cell r="E210">
            <v>50</v>
          </cell>
          <cell r="F210" t="str">
            <v>株式会社　エヌデーデー</v>
          </cell>
          <cell r="G210" t="str">
            <v>東京都中野区本町２－４６－２</v>
          </cell>
          <cell r="H210" t="str">
            <v>電子計算機システム運用業務</v>
          </cell>
          <cell r="I210" t="str">
            <v xml:space="preserve">
外務省大臣官房会計課長　上月豊久
東京都千代田区霞が関２－２－１</v>
          </cell>
          <cell r="J210">
            <v>38443</v>
          </cell>
          <cell r="K210">
            <v>17388000</v>
          </cell>
          <cell r="L210" t="str">
            <v>ホストコンピュータ導入の際、一般競争入札で契約したホストコンピュータ運用要員の継続契約（会計法第２９条の３第４項、特例政令に該当）。</v>
          </cell>
          <cell r="M210" t="str">
            <v>見直しの余地があるもの</v>
          </cell>
          <cell r="N210" t="str">
            <v>競争入札、企画招請もしくは公募に移行を検討（平成１９年度）</v>
          </cell>
          <cell r="P210" t="str">
            <v>民×</v>
          </cell>
          <cell r="Q210" t="str">
            <v>民</v>
          </cell>
          <cell r="S210" t="str">
            <v>民19①</v>
          </cell>
          <cell r="U210" t="str">
            <v>民</v>
          </cell>
          <cell r="X210" t="str">
            <v>①</v>
          </cell>
          <cell r="AA210">
            <v>1700392</v>
          </cell>
          <cell r="AB210">
            <v>1</v>
          </cell>
          <cell r="AC210" t="str">
            <v>17M005</v>
          </cell>
          <cell r="AD210" t="str">
            <v>無指定</v>
          </cell>
          <cell r="AE210" t="str">
            <v>官情</v>
          </cell>
          <cell r="AF210" t="str">
            <v>会計課調達室／サービス調達第３班</v>
          </cell>
          <cell r="AG210" t="str">
            <v>西村</v>
          </cell>
        </row>
        <row r="211">
          <cell r="A211" t="str">
            <v>民51</v>
          </cell>
          <cell r="B211">
            <v>357</v>
          </cell>
          <cell r="C211" t="str">
            <v>ﾄｲｳｷｮｳｺﾝｻﾙ</v>
          </cell>
          <cell r="E211">
            <v>51</v>
          </cell>
          <cell r="F211" t="str">
            <v>東京コンサルティング株式会社</v>
          </cell>
          <cell r="G211" t="str">
            <v>東京都港区西新橋３－８－３</v>
          </cell>
          <cell r="H211" t="str">
            <v>ＣＩＯ補佐官業務等の外部委託</v>
          </cell>
          <cell r="I211" t="str">
            <v xml:space="preserve">
外務省大臣官房会計課長　上月豊久
東京都千代田区霞が関２－２－１</v>
          </cell>
          <cell r="J211">
            <v>38443</v>
          </cell>
          <cell r="K211">
            <v>59598000</v>
          </cell>
          <cell r="L211" t="str">
            <v>本業務の目的を達成するために必要な知見、経験、人員を擁する唯一の業者であり、他に競争を許さない（会計法第２９条の３第４項、特定政令に該当）。</v>
          </cell>
          <cell r="M211" t="str">
            <v>見直しの余地があるもの</v>
          </cell>
          <cell r="N211" t="str">
            <v>競争入札もしくは企画招請へ移行（１９年度から実施予定）</v>
          </cell>
          <cell r="P211" t="str">
            <v>民×</v>
          </cell>
          <cell r="Q211" t="str">
            <v>民</v>
          </cell>
          <cell r="S211" t="str">
            <v>民19①</v>
          </cell>
          <cell r="U211" t="str">
            <v>民</v>
          </cell>
          <cell r="X211" t="str">
            <v>①</v>
          </cell>
          <cell r="AA211">
            <v>1700461</v>
          </cell>
          <cell r="AB211">
            <v>1</v>
          </cell>
          <cell r="AC211" t="str">
            <v>17G031</v>
          </cell>
          <cell r="AD211" t="str">
            <v>無指定</v>
          </cell>
          <cell r="AE211" t="str">
            <v>官情</v>
          </cell>
          <cell r="AF211" t="str">
            <v>会計課調達室／サービス調達第３班</v>
          </cell>
          <cell r="AG211" t="str">
            <v>西村</v>
          </cell>
        </row>
        <row r="212">
          <cell r="A212" t="str">
            <v>民52</v>
          </cell>
          <cell r="B212">
            <v>358</v>
          </cell>
          <cell r="C212" t="str">
            <v>ｼｬﾀﾞﾝｷﾞｮｳｾｲ</v>
          </cell>
          <cell r="E212">
            <v>52</v>
          </cell>
          <cell r="F212" t="str">
            <v>社団法人　行政情報システム研究所</v>
          </cell>
          <cell r="G212" t="str">
            <v>東京都千代田区日比谷公園１－３</v>
          </cell>
          <cell r="H212" t="str">
            <v>霞ヶ関ＷＡＮ利用（含む省庁間電子文書交換サービス利用）契約</v>
          </cell>
          <cell r="I212" t="str">
            <v xml:space="preserve">
外務省大臣官房会計課長　上月豊久
東京都千代田区霞が関２－２－１</v>
          </cell>
          <cell r="J212">
            <v>38443</v>
          </cell>
          <cell r="K212">
            <v>24759000</v>
          </cell>
          <cell r="L212" t="str">
            <v>霞ヶ関ＷＡＮの設置運用主体である同法人と契約を行うものであり、他に競争を許さない（会計法第２９条の３第４項、特定政令に該当）。</v>
          </cell>
          <cell r="M212" t="str">
            <v>その他のもの</v>
          </cell>
          <cell r="N212" t="str">
            <v>随意契約によらざるを得ないもの</v>
          </cell>
          <cell r="P212" t="str">
            <v>民×</v>
          </cell>
          <cell r="Q212" t="str">
            <v>民</v>
          </cell>
          <cell r="S212" t="str">
            <v>民1</v>
          </cell>
          <cell r="U212" t="str">
            <v>民</v>
          </cell>
          <cell r="V212" t="str">
            <v>●</v>
          </cell>
          <cell r="AA212">
            <v>1700443</v>
          </cell>
          <cell r="AB212">
            <v>1</v>
          </cell>
          <cell r="AC212" t="str">
            <v>17M000</v>
          </cell>
          <cell r="AD212" t="str">
            <v>無指定</v>
          </cell>
          <cell r="AE212" t="str">
            <v>官情</v>
          </cell>
          <cell r="AF212" t="str">
            <v>会計課調達室／サービス調達第３班</v>
          </cell>
          <cell r="AG212" t="str">
            <v>西村</v>
          </cell>
          <cell r="AI212" t="str">
            <v>（H21.01.26回答）
　閣議決定による国家プロジェクトにおいて、その実施者が定められている。</v>
          </cell>
          <cell r="AJ212" t="str">
            <v>（H21.01.26回答）
　イ．（ハ）</v>
          </cell>
        </row>
        <row r="213">
          <cell r="A213" t="str">
            <v>民53</v>
          </cell>
          <cell r="B213">
            <v>359</v>
          </cell>
          <cell r="C213" t="str">
            <v>ﾛｲﾀｰ</v>
          </cell>
          <cell r="E213">
            <v>53</v>
          </cell>
          <cell r="F213" t="str">
            <v>ロイター・ジャパン株式会社</v>
          </cell>
          <cell r="G213" t="str">
            <v>東京都港区虎ノ門４－３－１３　</v>
          </cell>
          <cell r="H213" t="str">
            <v>「経済情報データ・ベース」情報提供</v>
          </cell>
          <cell r="I213" t="str">
            <v>外務省大臣官房会計課長　上月豊久　東京都千代田区霞が関２－２－１</v>
          </cell>
          <cell r="J213">
            <v>38443</v>
          </cell>
          <cell r="K213">
            <v>3475080</v>
          </cell>
          <cell r="L213" t="str">
            <v>本件データベースサービスの運営・提供を行う会社との契約であり、他に競争を許さない（会計法第２９条の３第４項）。</v>
          </cell>
          <cell r="M213" t="str">
            <v>その他のもの</v>
          </cell>
          <cell r="N213" t="str">
            <v>随意契約によらざるを得ないもの</v>
          </cell>
          <cell r="P213" t="str">
            <v>民×</v>
          </cell>
          <cell r="Q213" t="str">
            <v>民</v>
          </cell>
          <cell r="S213" t="str">
            <v>民1</v>
          </cell>
          <cell r="U213" t="str">
            <v>民</v>
          </cell>
          <cell r="V213" t="str">
            <v>●</v>
          </cell>
          <cell r="AA213">
            <v>1700543</v>
          </cell>
          <cell r="AB213">
            <v>1</v>
          </cell>
          <cell r="AC213" t="str">
            <v>17Z024</v>
          </cell>
          <cell r="AD213" t="str">
            <v>無指定</v>
          </cell>
          <cell r="AE213" t="str">
            <v>経安</v>
          </cell>
          <cell r="AF213" t="str">
            <v>会計課調達室／サービス調達第１班</v>
          </cell>
          <cell r="AG213" t="str">
            <v>竹澤</v>
          </cell>
          <cell r="AI213" t="str">
            <v>行政目的を達成するために不可欠な情報の提供</v>
          </cell>
          <cell r="AJ213" t="str">
            <v>ニ（ヘ）</v>
          </cell>
        </row>
        <row r="214">
          <cell r="A214" t="str">
            <v>民54</v>
          </cell>
          <cell r="B214">
            <v>360</v>
          </cell>
          <cell r="C214" t="str">
            <v>ｶﾌﾞﾋﾀﾁｾｲ・ｷｬﾋﾟ</v>
          </cell>
          <cell r="E214">
            <v>54</v>
          </cell>
          <cell r="F214" t="str">
            <v>株式会社日立製作所／
日立キャピタル株式会社</v>
          </cell>
          <cell r="G214" t="str">
            <v>東京都江東区新砂１－６－２７／
東京都港区西新橋２－１５－１２</v>
          </cell>
          <cell r="H214" t="str">
            <v>「関係府省技術協力データベース」用サーバ機器の賃貸借</v>
          </cell>
          <cell r="I214" t="str">
            <v>外務省大臣官房会計課長　上月豊久　東京都千代田区霞が関２－２－１</v>
          </cell>
          <cell r="J214">
            <v>38443</v>
          </cell>
          <cell r="K214">
            <v>3961683</v>
          </cell>
          <cell r="L214" t="str">
            <v>業者の変更は機器の撤去や設置作業を必要とする事から経済性及び業務効率性の面からも支障がある。安定したデータベース運用環境を確保するため引き続き同社との契約が必要であり、他に競争を許さない（会計法第２９条の３第４項）。</v>
          </cell>
          <cell r="M214" t="str">
            <v>見直しの余地があるもの</v>
          </cell>
          <cell r="N214" t="str">
            <v>競争入札へ移行（平成２０年４月以降）</v>
          </cell>
          <cell r="P214" t="str">
            <v>民×</v>
          </cell>
          <cell r="Q214" t="str">
            <v>民</v>
          </cell>
          <cell r="S214" t="str">
            <v>民20①</v>
          </cell>
          <cell r="U214" t="str">
            <v>民</v>
          </cell>
          <cell r="Y214" t="str">
            <v>①</v>
          </cell>
          <cell r="AA214">
            <v>1700358</v>
          </cell>
          <cell r="AB214">
            <v>1</v>
          </cell>
          <cell r="AC214" t="str">
            <v>17M143</v>
          </cell>
          <cell r="AD214" t="str">
            <v>無指定</v>
          </cell>
          <cell r="AE214" t="str">
            <v>経協計</v>
          </cell>
          <cell r="AF214" t="str">
            <v>会計課調達室／サービス調達第３班</v>
          </cell>
          <cell r="AG214" t="str">
            <v>西村</v>
          </cell>
        </row>
        <row r="215">
          <cell r="A215" t="str">
            <v>民55</v>
          </cell>
          <cell r="B215">
            <v>361</v>
          </cell>
          <cell r="C215" t="str">
            <v>ｶﾌﾞｱﾄﾞｰ</v>
          </cell>
          <cell r="E215">
            <v>55</v>
          </cell>
          <cell r="F215" t="str">
            <v>株式会社アドービジネスコンサルタント</v>
          </cell>
          <cell r="G215" t="str">
            <v>東京都中央区日本橋浜町２－３１－１</v>
          </cell>
          <cell r="H215" t="str">
            <v>経済協力ＯＤＡ関連データ入力作業及びＯＤＡ関係資料作成作業の委嘱</v>
          </cell>
          <cell r="I215" t="str">
            <v>外務省大臣官房会計課長　上月豊久　東京都千代田区霞が関２－２－１</v>
          </cell>
          <cell r="J215">
            <v>38443</v>
          </cell>
          <cell r="K215">
            <v>5922000</v>
          </cell>
          <cell r="L215" t="str">
            <v>平成１６年度において一般競争入札により契約した相手先に引き続き業務を委嘱するもの。本件作業に関する経験と知見を有する同社との契約は業務効率から考えても有利である（会計法第２９条の３第４項）。</v>
          </cell>
          <cell r="M215" t="str">
            <v>見直しの余地があるもの</v>
          </cell>
          <cell r="N215" t="str">
            <v>競争入札もしくは企画招請に移行（平成１９年４月以降）</v>
          </cell>
          <cell r="P215" t="str">
            <v>民×</v>
          </cell>
          <cell r="Q215" t="str">
            <v>民</v>
          </cell>
          <cell r="S215" t="str">
            <v>民19①</v>
          </cell>
          <cell r="U215" t="str">
            <v>民</v>
          </cell>
          <cell r="X215" t="str">
            <v>①</v>
          </cell>
          <cell r="AA215">
            <v>1700463</v>
          </cell>
          <cell r="AB215">
            <v>1</v>
          </cell>
          <cell r="AC215" t="str">
            <v>17G007</v>
          </cell>
          <cell r="AD215" t="str">
            <v>無指定</v>
          </cell>
          <cell r="AE215" t="str">
            <v>経協計</v>
          </cell>
          <cell r="AF215" t="str">
            <v>会計課調達室／サービス調達第１班</v>
          </cell>
          <cell r="AG215" t="str">
            <v>竹澤</v>
          </cell>
        </row>
        <row r="216">
          <cell r="A216" t="str">
            <v>民56</v>
          </cell>
          <cell r="B216">
            <v>362</v>
          </cell>
          <cell r="C216" t="str">
            <v>ｶﾌﾞﾋﾀﾁｾｲ</v>
          </cell>
          <cell r="E216">
            <v>56</v>
          </cell>
          <cell r="F216" t="str">
            <v>株式会社日立製作所</v>
          </cell>
          <cell r="G216" t="str">
            <v>東京都江東区新砂１－６－２７</v>
          </cell>
          <cell r="H216" t="str">
            <v>「経済協力局内システム」運用支援業務</v>
          </cell>
          <cell r="I216" t="str">
            <v>外務省大臣官房会計課長　上月豊久　東京都千代田区霞が関２－２－１</v>
          </cell>
          <cell r="J216">
            <v>38443</v>
          </cell>
          <cell r="K216">
            <v>15543360</v>
          </cell>
          <cell r="L216"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216" t="str">
            <v>見直しの余地があるもの</v>
          </cell>
          <cell r="N216" t="str">
            <v>平成２０年度に予定している新システム導入以降は当該事務・事業の委託を行わない。</v>
          </cell>
          <cell r="P216" t="str">
            <v>民×</v>
          </cell>
          <cell r="Q216" t="str">
            <v>民</v>
          </cell>
          <cell r="S216" t="str">
            <v>民20×</v>
          </cell>
          <cell r="U216" t="str">
            <v>民</v>
          </cell>
          <cell r="Y216" t="str">
            <v>×</v>
          </cell>
          <cell r="AA216">
            <v>1700384</v>
          </cell>
          <cell r="AB216">
            <v>1</v>
          </cell>
          <cell r="AC216" t="str">
            <v>17G005</v>
          </cell>
          <cell r="AD216" t="str">
            <v>無指定</v>
          </cell>
          <cell r="AE216" t="str">
            <v>経協計</v>
          </cell>
          <cell r="AF216" t="str">
            <v>会計課調達室／サービス調達第３班</v>
          </cell>
          <cell r="AG216" t="str">
            <v>西村</v>
          </cell>
        </row>
        <row r="217">
          <cell r="A217" t="str">
            <v>民57</v>
          </cell>
          <cell r="B217">
            <v>363</v>
          </cell>
          <cell r="C217" t="str">
            <v>ｶﾌﾞﾋﾀﾁｾｲ</v>
          </cell>
          <cell r="E217">
            <v>57</v>
          </cell>
          <cell r="F217" t="str">
            <v>株式会社日立製作所　</v>
          </cell>
          <cell r="G217" t="str">
            <v>東京都江東区新砂１－６－２７</v>
          </cell>
          <cell r="H217" t="str">
            <v>「経済協力局内システム」の保守及び支援契約</v>
          </cell>
          <cell r="I217" t="str">
            <v>外務省大臣官房会計課長　上月豊久　東京都千代田区霞が関２－２－１</v>
          </cell>
          <cell r="J217">
            <v>38443</v>
          </cell>
          <cell r="K217">
            <v>10252620</v>
          </cell>
          <cell r="L217"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217" t="str">
            <v>見直しの余地があるもの</v>
          </cell>
          <cell r="N217" t="str">
            <v>平成２０年度に予定している新システム導入以降は当該事務・事業の委託を行わない。</v>
          </cell>
          <cell r="P217" t="str">
            <v>民×</v>
          </cell>
          <cell r="Q217" t="str">
            <v>民</v>
          </cell>
          <cell r="S217" t="str">
            <v>民20×</v>
          </cell>
          <cell r="U217" t="str">
            <v>民</v>
          </cell>
          <cell r="Y217" t="str">
            <v>×</v>
          </cell>
          <cell r="AA217">
            <v>1700378</v>
          </cell>
          <cell r="AB217">
            <v>1</v>
          </cell>
          <cell r="AC217" t="str">
            <v>17W181</v>
          </cell>
          <cell r="AD217" t="str">
            <v>無指定</v>
          </cell>
          <cell r="AE217" t="str">
            <v>経協計</v>
          </cell>
          <cell r="AF217" t="str">
            <v>会計課調達室／サービス調達第３班</v>
          </cell>
          <cell r="AG217" t="str">
            <v>西村</v>
          </cell>
          <cell r="AI217" t="str">
            <v>現在稼働中のシステムの運用支援を業務効率・費用を考慮し同システムの開発業者に委嘱しているため。ただし、平成２０年１１月（末日）をもって本契約を終了する。</v>
          </cell>
        </row>
        <row r="218">
          <cell r="A218" t="str">
            <v>民58</v>
          </cell>
          <cell r="B218">
            <v>364</v>
          </cell>
          <cell r="C218" t="str">
            <v>ｶﾌﾞﾋﾀﾁｾｲ・ｷｬﾋﾟ</v>
          </cell>
          <cell r="E218">
            <v>58</v>
          </cell>
          <cell r="F218" t="str">
            <v>株式会社日立製作所／
日立キャピタル株式会社</v>
          </cell>
          <cell r="G218" t="str">
            <v xml:space="preserve">東京都千代田区神田駿河台４－６／
東京都港区西新橋２－１５－１２
</v>
          </cell>
          <cell r="H218" t="str">
            <v>経済協力局業務サーバ機器の賃貸借</v>
          </cell>
          <cell r="I218" t="str">
            <v>外務省大臣官房会計課長　上月豊久　東京都千代田区霞が関２－２－１</v>
          </cell>
          <cell r="J218">
            <v>38443</v>
          </cell>
          <cell r="K218">
            <v>9927540</v>
          </cell>
          <cell r="L218" t="str">
            <v>本件システムを安定的に維持していくために、本件サーバ製造業者である契約相手先との契約が必要不可欠である（会計法第２９条の３第４項、特例政令に該当）。</v>
          </cell>
          <cell r="M218" t="str">
            <v>見直しの余地があるもの</v>
          </cell>
          <cell r="N218" t="str">
            <v>平成２０年度に予定している新システム導入以降は当該事務・事業の委託を行わない。</v>
          </cell>
          <cell r="P218" t="str">
            <v>民×</v>
          </cell>
          <cell r="Q218" t="str">
            <v>民</v>
          </cell>
          <cell r="S218" t="str">
            <v>民20×</v>
          </cell>
          <cell r="U218" t="str">
            <v>民</v>
          </cell>
          <cell r="Y218" t="str">
            <v>×</v>
          </cell>
          <cell r="AA218">
            <v>1700346</v>
          </cell>
          <cell r="AB218">
            <v>1</v>
          </cell>
          <cell r="AC218" t="str">
            <v>17M142</v>
          </cell>
          <cell r="AD218" t="str">
            <v>無指定</v>
          </cell>
          <cell r="AE218" t="str">
            <v>経協計</v>
          </cell>
          <cell r="AF218" t="str">
            <v>会計課調達室／サービス調達第３班</v>
          </cell>
          <cell r="AG218" t="str">
            <v>西村</v>
          </cell>
          <cell r="AI218" t="str">
            <v>複数年にわたる契約期間を条件としているため。ただし、平成２０年１１月（末日）をもって情報通信課共通プラット・フォームへのシステム移行を完了し、本件契約を終了する。</v>
          </cell>
        </row>
        <row r="219">
          <cell r="A219" t="str">
            <v>民59</v>
          </cell>
          <cell r="B219">
            <v>365</v>
          </cell>
          <cell r="C219" t="str">
            <v>ｺｸｻｲｷﾝﾕｳ</v>
          </cell>
          <cell r="E219">
            <v>59</v>
          </cell>
          <cell r="F219" t="str">
            <v>国際金融情報センター</v>
          </cell>
          <cell r="G219" t="str">
            <v>東京都中央区日本橋小網町９－９</v>
          </cell>
          <cell r="H219" t="str">
            <v>「国際金融情報」閲覧</v>
          </cell>
          <cell r="I219" t="str">
            <v>外務省大臣官房会計課長　上月豊久　東京都千代田区霞が関２－２－１</v>
          </cell>
          <cell r="J219">
            <v>38443</v>
          </cell>
          <cell r="K219">
            <v>2520000</v>
          </cell>
          <cell r="L219" t="str">
            <v>「国際金融情報」データベースの運営・提供を行う同社と契約を行うものであり、他に競争を許さない（会計法第２９条の３第４項）。</v>
          </cell>
          <cell r="M219" t="str">
            <v>その他のもの</v>
          </cell>
          <cell r="N219" t="str">
            <v>随意契約によらざるを得ないもの</v>
          </cell>
          <cell r="P219" t="str">
            <v>民×</v>
          </cell>
          <cell r="Q219" t="str">
            <v>民</v>
          </cell>
          <cell r="S219" t="str">
            <v>民1</v>
          </cell>
          <cell r="U219" t="str">
            <v>民</v>
          </cell>
          <cell r="V219" t="str">
            <v>●</v>
          </cell>
          <cell r="AA219">
            <v>1700482</v>
          </cell>
          <cell r="AB219">
            <v>1</v>
          </cell>
          <cell r="AD219" t="str">
            <v>無指定</v>
          </cell>
          <cell r="AE219" t="str">
            <v>経協計</v>
          </cell>
          <cell r="AF219" t="str">
            <v>会計課調達室／サービス調達第１班</v>
          </cell>
          <cell r="AG219" t="str">
            <v>竹澤</v>
          </cell>
          <cell r="AI219" t="str">
            <v>行政目的を達成するために不可欠な情報の提供</v>
          </cell>
          <cell r="AJ219" t="str">
            <v>ニ（ヘ）</v>
          </cell>
        </row>
        <row r="220">
          <cell r="A220" t="str">
            <v>民60</v>
          </cell>
          <cell r="B220">
            <v>366</v>
          </cell>
          <cell r="C220" t="str">
            <v>ｶﾌﾞﾊｸﾎｳﾄﾞｳ</v>
          </cell>
          <cell r="E220">
            <v>60</v>
          </cell>
          <cell r="F220" t="str">
            <v>株式会社　博報堂</v>
          </cell>
          <cell r="G220" t="str">
            <v>東京都港区芝浦３－４－１</v>
          </cell>
          <cell r="H220" t="str">
            <v>ＯＤＡ広報ＴＶ番組の制作・放映</v>
          </cell>
          <cell r="I220" t="str">
            <v>外務省大臣官房会計課長　上月豊久　東京都千代田区霞が関２－２－１</v>
          </cell>
          <cell r="J220">
            <v>38443</v>
          </cell>
          <cell r="K220">
            <v>199332000</v>
          </cell>
          <cell r="L220" t="str">
            <v>公示の上、資料提供企画招請を行い、提出された企画書審査等を通じ企画内容・見積額等により判断し、同社が最も高い評価を得て確実な業務の履行が可能であると認められたもの（会計法第２９条の３第４項、特例政令に該当）。</v>
          </cell>
          <cell r="M220" t="str">
            <v>見直しの余地があるもの</v>
          </cell>
          <cell r="N220" t="str">
            <v>企画招請を実施（１８年度以降も引き続き実施）</v>
          </cell>
          <cell r="P220" t="str">
            <v>民○</v>
          </cell>
          <cell r="Q220" t="str">
            <v>民</v>
          </cell>
          <cell r="R220" t="str">
            <v>○</v>
          </cell>
          <cell r="S220" t="str">
            <v>民18②</v>
          </cell>
          <cell r="U220" t="str">
            <v>民</v>
          </cell>
          <cell r="W220" t="str">
            <v>②</v>
          </cell>
          <cell r="AA220">
            <v>1700298</v>
          </cell>
          <cell r="AB220">
            <v>1</v>
          </cell>
          <cell r="AD220" t="str">
            <v>無指定</v>
          </cell>
          <cell r="AE220" t="str">
            <v>経協政</v>
          </cell>
          <cell r="AF220" t="str">
            <v>会計課調達室／サービス調達第１班</v>
          </cell>
          <cell r="AG220" t="str">
            <v>村松</v>
          </cell>
        </row>
        <row r="221">
          <cell r="A221" t="str">
            <v>民61</v>
          </cell>
          <cell r="B221">
            <v>367</v>
          </cell>
          <cell r="C221" t="str">
            <v>ﾄｸﾃｲﾋｴｲﾘｺｸｻｲｷｮｳﾘｮｸ</v>
          </cell>
          <cell r="E221">
            <v>61</v>
          </cell>
          <cell r="F221" t="str">
            <v>特定非営利活動法人国際協力ＮＧＯセンター</v>
          </cell>
          <cell r="G221" t="str">
            <v>東京都新宿区西早稲田２－３－１８　</v>
          </cell>
          <cell r="H221" t="str">
            <v>「日本ＮＧＯ支援無償資金協力に関するセミナー」実施業務委嘱</v>
          </cell>
          <cell r="I221" t="str">
            <v>外務省大臣官房会計課長　上月豊久　東京都千代田区霞が関２－２－１</v>
          </cell>
          <cell r="J221">
            <v>38443</v>
          </cell>
          <cell r="K221">
            <v>2975532</v>
          </cell>
          <cell r="L221" t="str">
            <v>契約相手先は日本最大規模のＮＧＯネットワーク組織であり、セミナー運営に係るロジ能力のみならずＮＧＯに関する知見・経験が豊富な団体であり、本件契約目的達成のためには不可欠な団体である（会計法第２９条の３第４項）。</v>
          </cell>
          <cell r="M221" t="str">
            <v>見直しの余地があるもの</v>
          </cell>
          <cell r="N221" t="str">
            <v>１８年度において当該事務・事業の委託を行わないもの</v>
          </cell>
          <cell r="P221" t="str">
            <v>民×</v>
          </cell>
          <cell r="Q221" t="str">
            <v>民</v>
          </cell>
          <cell r="S221" t="str">
            <v>民18×</v>
          </cell>
          <cell r="U221" t="str">
            <v>民</v>
          </cell>
          <cell r="W221" t="str">
            <v>×</v>
          </cell>
          <cell r="AA221">
            <v>1700122</v>
          </cell>
          <cell r="AB221">
            <v>1</v>
          </cell>
          <cell r="AC221" t="str">
            <v>17G212</v>
          </cell>
          <cell r="AD221" t="str">
            <v>無指定</v>
          </cell>
          <cell r="AE221" t="str">
            <v>経協民</v>
          </cell>
          <cell r="AF221" t="str">
            <v>会計課調達室／サービス調達第２班</v>
          </cell>
          <cell r="AG221" t="str">
            <v>和田</v>
          </cell>
        </row>
        <row r="222">
          <cell r="A222" t="str">
            <v>民62</v>
          </cell>
          <cell r="B222">
            <v>368</v>
          </cell>
          <cell r="C222" t="str">
            <v>ｶﾌﾞｸｲｯｸ</v>
          </cell>
          <cell r="E222">
            <v>62</v>
          </cell>
          <cell r="F222" t="str">
            <v>株式会社くいっく</v>
          </cell>
          <cell r="G222" t="str">
            <v>東京都千代田区大手町１－６－１</v>
          </cell>
          <cell r="H222" t="str">
            <v>「為替・金融情報サービス」利用契約</v>
          </cell>
          <cell r="I222" t="str">
            <v>外務省大臣官房会計課長　上月豊久　東京都千代田区霞が関２－２－１</v>
          </cell>
          <cell r="J222">
            <v>38443</v>
          </cell>
          <cell r="K222">
            <v>2028600</v>
          </cell>
          <cell r="L222" t="str">
            <v>本件情報サービスを運営、提供している会社との契約であり、他に競争を許さない（会計法第２９条の３第４項）。</v>
          </cell>
          <cell r="M222" t="str">
            <v>見直しの余地があるもの</v>
          </cell>
          <cell r="N222" t="str">
            <v>１８年度以降において当該事務・事業の委託等を行う予定のないもの</v>
          </cell>
          <cell r="P222" t="str">
            <v>民×</v>
          </cell>
          <cell r="Q222" t="str">
            <v>民</v>
          </cell>
          <cell r="S222" t="str">
            <v>民18×</v>
          </cell>
          <cell r="U222" t="str">
            <v>民</v>
          </cell>
          <cell r="W222" t="str">
            <v>×</v>
          </cell>
          <cell r="AA222">
            <v>1700563</v>
          </cell>
          <cell r="AB222">
            <v>1</v>
          </cell>
          <cell r="AC222" t="str">
            <v>17W068</v>
          </cell>
          <cell r="AD222" t="str">
            <v>無指定</v>
          </cell>
          <cell r="AE222" t="str">
            <v>経政</v>
          </cell>
          <cell r="AF222" t="str">
            <v>会計課調達室／サービス調達第１班</v>
          </cell>
          <cell r="AG222" t="str">
            <v>竹澤</v>
          </cell>
        </row>
        <row r="223">
          <cell r="A223" t="str">
            <v>民63</v>
          </cell>
          <cell r="B223">
            <v>369</v>
          </cell>
          <cell r="C223" t="str">
            <v>ﾄﾑｿﾝ</v>
          </cell>
          <cell r="E223">
            <v>63</v>
          </cell>
          <cell r="F223" t="str">
            <v>トムソンコーポレーション株式会社ティーエフスリー</v>
          </cell>
          <cell r="G223" t="str">
            <v>東京都千代田区一ツ橋１－１－１　</v>
          </cell>
          <cell r="H223" t="str">
            <v>「データストリームサービス（エコノビュー）」の利用</v>
          </cell>
          <cell r="I223" t="str">
            <v>外務省大臣官房会計課長　上月豊久　東京都千代田区霞が関２－２－１</v>
          </cell>
          <cell r="J223">
            <v>38443</v>
          </cell>
          <cell r="K223">
            <v>4830000</v>
          </cell>
          <cell r="L223" t="str">
            <v>本件はデータベースサービスの提供を行う会社との契約であり、データの質・量・信頼性において代替可能なサービスを提供する業者は他になく、他に競争を許さない（会計法第２９条の３第４項）。</v>
          </cell>
          <cell r="M223" t="str">
            <v>その他のもの</v>
          </cell>
          <cell r="N223" t="str">
            <v>随意契約によらざるを得ないもの</v>
          </cell>
          <cell r="P223" t="str">
            <v>民×</v>
          </cell>
          <cell r="Q223" t="str">
            <v>民</v>
          </cell>
          <cell r="S223" t="str">
            <v>民1</v>
          </cell>
          <cell r="U223" t="str">
            <v>民</v>
          </cell>
          <cell r="V223" t="str">
            <v>●</v>
          </cell>
          <cell r="AA223">
            <v>1700564</v>
          </cell>
          <cell r="AB223">
            <v>1</v>
          </cell>
          <cell r="AC223" t="str">
            <v>17W067</v>
          </cell>
          <cell r="AD223" t="str">
            <v>無指定</v>
          </cell>
          <cell r="AE223" t="str">
            <v>経政</v>
          </cell>
          <cell r="AF223" t="str">
            <v>会計課調達室／サービス調達第１班</v>
          </cell>
          <cell r="AG223" t="str">
            <v>竹澤</v>
          </cell>
          <cell r="AI223" t="str">
            <v>行政目的を達成するために不可欠な情報の提供
（H210126回答）
21年度より一般競争入札実施</v>
          </cell>
          <cell r="AJ223" t="str">
            <v>ニ（ヘ）</v>
          </cell>
        </row>
        <row r="224">
          <cell r="A224" t="str">
            <v>民64</v>
          </cell>
          <cell r="B224">
            <v>370</v>
          </cell>
          <cell r="C224" t="str">
            <v>ｶﾌﾞｼﾞｪｲﾃｨｰﾋﾞｰ</v>
          </cell>
          <cell r="E224">
            <v>64</v>
          </cell>
          <cell r="F224" t="str">
            <v>株式会社ジェイティービー</v>
          </cell>
          <cell r="G224" t="str">
            <v>東京都品川区東品川２－３－１１</v>
          </cell>
          <cell r="H224" t="str">
            <v>「２００５年日本国際博覧会」賓客接遇業務委託単価契約（※89件）</v>
          </cell>
          <cell r="I224" t="str">
            <v>外務省大臣官房会計課長　上月豊久　東京都千代田区霞が関２－２－１</v>
          </cell>
          <cell r="J224">
            <v>38443</v>
          </cell>
          <cell r="K224">
            <v>134034691</v>
          </cell>
          <cell r="L22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224" t="str">
            <v>見直しの余地があるもの</v>
          </cell>
          <cell r="N224" t="str">
            <v>１８年度以降において当該事務・事業の委託等を行う予定のないもの</v>
          </cell>
          <cell r="O224" t="str">
            <v>単価契約　　　　　全89件</v>
          </cell>
          <cell r="P224" t="str">
            <v>民○</v>
          </cell>
          <cell r="Q224" t="str">
            <v>民</v>
          </cell>
          <cell r="R224" t="str">
            <v>○
89</v>
          </cell>
          <cell r="S224" t="str">
            <v>民18×</v>
          </cell>
          <cell r="U224" t="str">
            <v>民</v>
          </cell>
          <cell r="W224" t="str">
            <v>×</v>
          </cell>
          <cell r="AA224">
            <v>1700658</v>
          </cell>
          <cell r="AB224">
            <v>1</v>
          </cell>
          <cell r="AD224" t="str">
            <v>無指定</v>
          </cell>
          <cell r="AE224" t="str">
            <v>経愛博</v>
          </cell>
          <cell r="AF224" t="str">
            <v>会計課調達室／サービス調達第２班</v>
          </cell>
          <cell r="AG224" t="str">
            <v>光山</v>
          </cell>
        </row>
        <row r="225">
          <cell r="A225" t="str">
            <v>民153</v>
          </cell>
          <cell r="B225">
            <v>459</v>
          </cell>
          <cell r="C225" t="str">
            <v>ﾀｶﾗｺｳﾂｳ</v>
          </cell>
          <cell r="E225">
            <v>153</v>
          </cell>
          <cell r="F225" t="str">
            <v>宝交通株式会社</v>
          </cell>
          <cell r="G225" t="str">
            <v>愛知県名古屋市瑞穂区内浜３４－９</v>
          </cell>
          <cell r="H225" t="str">
            <v>「２００５年日本国際博覧会」政府代表用ハイヤー借上単価契約（継続）</v>
          </cell>
          <cell r="I225" t="str">
            <v>外務省大臣官房会計課長　上月豊久　東京都千代田区霞が関２－２－１</v>
          </cell>
          <cell r="J225">
            <v>38443</v>
          </cell>
          <cell r="K225">
            <v>7875000</v>
          </cell>
          <cell r="L225" t="str">
            <v>認可料金による契約であり、他に競争を許さない（会計法第２９条の３第４項）。</v>
          </cell>
          <cell r="M225" t="str">
            <v>見直しの余地があるもの</v>
          </cell>
          <cell r="N225" t="str">
            <v>１８年度以降において当該事務・事業の委託等を行う予定のないもの</v>
          </cell>
          <cell r="O225" t="str">
            <v>単価契約</v>
          </cell>
          <cell r="P225" t="str">
            <v>民×</v>
          </cell>
          <cell r="Q225" t="str">
            <v>民</v>
          </cell>
          <cell r="S225" t="str">
            <v>民18×</v>
          </cell>
          <cell r="U225" t="str">
            <v>民</v>
          </cell>
          <cell r="W225" t="str">
            <v>×</v>
          </cell>
          <cell r="AA225">
            <v>1700662</v>
          </cell>
          <cell r="AB225">
            <v>1</v>
          </cell>
          <cell r="AC225" t="str">
            <v>17S213</v>
          </cell>
          <cell r="AD225" t="str">
            <v>無指定</v>
          </cell>
          <cell r="AE225" t="str">
            <v>経愛博</v>
          </cell>
          <cell r="AF225" t="str">
            <v>会計課調達室／サービス調達第２班</v>
          </cell>
          <cell r="AG225" t="str">
            <v>光山</v>
          </cell>
        </row>
        <row r="226">
          <cell r="A226" t="str">
            <v>民154</v>
          </cell>
          <cell r="B226">
            <v>460</v>
          </cell>
          <cell r="C226" t="str">
            <v>ｶﾌﾞﾊﾟﾜｰﾄﾞ</v>
          </cell>
          <cell r="E226">
            <v>154</v>
          </cell>
          <cell r="F226" t="str">
            <v>株式会社パワードコム</v>
          </cell>
          <cell r="G226" t="str">
            <v>東京都港区港南２－１６－１</v>
          </cell>
          <cell r="H226" t="str">
            <v>「愛・地球博」外務省連絡室広域イーサネット回線敷設</v>
          </cell>
          <cell r="I226" t="str">
            <v>外務省大臣官房会計課長　上月豊久　東京都千代田区霞が関２－２－１</v>
          </cell>
          <cell r="J226">
            <v>38443</v>
          </cell>
          <cell r="K226">
            <v>1535436</v>
          </cell>
          <cell r="L226" t="str">
            <v>当方で必要としている期間（１年未満）での契約が可能なのは同社のみであり、また、料金比較においても他社より安価であったので契約締結にあたり他に競争を許さない（会計法第２９条の３第４項）。</v>
          </cell>
          <cell r="M226" t="str">
            <v>見直しの余地があるもの</v>
          </cell>
          <cell r="N226" t="str">
            <v>１８年度以降において当該事務・事業の委託等を行う予定のないもの</v>
          </cell>
          <cell r="P226" t="str">
            <v>民×</v>
          </cell>
          <cell r="Q226" t="str">
            <v>民</v>
          </cell>
          <cell r="S226" t="str">
            <v>民18×</v>
          </cell>
          <cell r="U226" t="str">
            <v>民</v>
          </cell>
          <cell r="W226" t="str">
            <v>×</v>
          </cell>
          <cell r="AA226">
            <v>1700192</v>
          </cell>
          <cell r="AB226">
            <v>2</v>
          </cell>
          <cell r="AC226" t="str">
            <v>17Z015</v>
          </cell>
          <cell r="AD226" t="str">
            <v>無指定</v>
          </cell>
          <cell r="AE226" t="str">
            <v>総</v>
          </cell>
          <cell r="AF226" t="str">
            <v>会計課調達室／物品調達班</v>
          </cell>
          <cell r="AG226" t="str">
            <v>宮田</v>
          </cell>
        </row>
        <row r="227">
          <cell r="A227" t="str">
            <v>民155</v>
          </cell>
          <cell r="B227">
            <v>461</v>
          </cell>
          <cell r="C227" t="str">
            <v>ｶﾌﾞﾆｯｹｲ</v>
          </cell>
          <cell r="E227">
            <v>155</v>
          </cell>
          <cell r="F227" t="str">
            <v>株式会社日経ラジオ社</v>
          </cell>
          <cell r="G227" t="str">
            <v>東京都港区赤坂１－９－１５</v>
          </cell>
          <cell r="H227" t="str">
            <v>「世界経済ダイヤル」制作・放送契約</v>
          </cell>
          <cell r="I227" t="str">
            <v>外務省大臣官房会計課長　上月豊久　東京都千代田区霞が関２－２－１</v>
          </cell>
          <cell r="J227">
            <v>38443</v>
          </cell>
          <cell r="K227">
            <v>4284000</v>
          </cell>
          <cell r="L227" t="str">
            <v>本件は、契約相手先が制作するラジオ番組に対して当省が制作費の一部を支出するものであり、契約目的に鑑み、本件契約相手先以外に履行可能な業者が無い（会計法第２９条の３第４項）。</v>
          </cell>
          <cell r="M227" t="str">
            <v>その他のもの</v>
          </cell>
          <cell r="N227" t="str">
            <v>随意契約によらざるを得ないもの</v>
          </cell>
          <cell r="P227" t="str">
            <v>民×</v>
          </cell>
          <cell r="Q227" t="str">
            <v>民</v>
          </cell>
          <cell r="S227" t="str">
            <v>民1</v>
          </cell>
          <cell r="U227" t="str">
            <v>民</v>
          </cell>
          <cell r="V227" t="str">
            <v>●</v>
          </cell>
          <cell r="AA227">
            <v>1700365</v>
          </cell>
          <cell r="AB227">
            <v>1</v>
          </cell>
          <cell r="AD227" t="str">
            <v>無指定</v>
          </cell>
          <cell r="AE227" t="str">
            <v>経政</v>
          </cell>
          <cell r="AF227" t="str">
            <v>会計課調達室／サービス調達第１班</v>
          </cell>
          <cell r="AG227" t="str">
            <v>村松</v>
          </cell>
        </row>
        <row r="228">
          <cell r="A228" t="str">
            <v>民156</v>
          </cell>
          <cell r="B228">
            <v>462</v>
          </cell>
          <cell r="C228" t="str">
            <v>ﾌﾞﾙｰﾑﾊﾞｰｸﾞ</v>
          </cell>
          <cell r="E228">
            <v>156</v>
          </cell>
          <cell r="F228" t="str">
            <v>ブルームバーグ　Ｌ．Ｐ．</v>
          </cell>
          <cell r="G228" t="str">
            <v>東京都千代田区丸の内２－３－２</v>
          </cell>
          <cell r="H228" t="str">
            <v>「ブルームバーグ社端末情報提供」契約</v>
          </cell>
          <cell r="I228" t="str">
            <v>外務省大臣官房会計課長　上月豊久　東京都千代田区霞が関２－２－１</v>
          </cell>
          <cell r="J228">
            <v>38443</v>
          </cell>
          <cell r="K228">
            <v>3685500</v>
          </cell>
          <cell r="L228" t="str">
            <v>本件データベースサービスの提供を行う会社との契約であり、他に競争を許さない（会計法第２９条の３第４項）。</v>
          </cell>
          <cell r="M228" t="str">
            <v>見直しの余地があるもの</v>
          </cell>
          <cell r="N228" t="str">
            <v>１８年度において当該事務・事業の委託を行う予定のないもの</v>
          </cell>
          <cell r="P228" t="str">
            <v>民×</v>
          </cell>
          <cell r="Q228" t="str">
            <v>民</v>
          </cell>
          <cell r="S228" t="str">
            <v>民18×</v>
          </cell>
          <cell r="U228" t="str">
            <v>民</v>
          </cell>
          <cell r="W228" t="str">
            <v>×</v>
          </cell>
          <cell r="AA228">
            <v>1700414</v>
          </cell>
          <cell r="AB228">
            <v>1</v>
          </cell>
          <cell r="AD228" t="str">
            <v>無指定</v>
          </cell>
          <cell r="AE228" t="str">
            <v>経統</v>
          </cell>
          <cell r="AF228" t="str">
            <v>会計課調達室／サービス調達第１班</v>
          </cell>
          <cell r="AG228" t="str">
            <v>村松</v>
          </cell>
        </row>
        <row r="229">
          <cell r="A229" t="str">
            <v>民157</v>
          </cell>
          <cell r="B229">
            <v>463</v>
          </cell>
          <cell r="C229" t="str">
            <v>ｼﾞｮﾝｿﾝ</v>
          </cell>
          <cell r="E229">
            <v>157</v>
          </cell>
          <cell r="F229" t="str">
            <v>ジョンソンコントロールズ株式会社</v>
          </cell>
          <cell r="G229" t="str">
            <v>神奈川県横浜市中区本町３－３０－７</v>
          </cell>
          <cell r="H229" t="str">
            <v>研修所空調自動制御装置の保守契約</v>
          </cell>
          <cell r="I229" t="str">
            <v>外務省大臣官房会計課長　上月豊久　東京都千代田区霞が関２－２－１</v>
          </cell>
          <cell r="J229">
            <v>38443</v>
          </cell>
          <cell r="K229">
            <v>1995000</v>
          </cell>
          <cell r="L229" t="str">
            <v>空調自動制御装置の製造会社である同社に保守を行わせるものであり、他に競争を許さない（会計法第２９条の３第４項）。</v>
          </cell>
          <cell r="M229" t="str">
            <v>見直しの余地があるもの</v>
          </cell>
          <cell r="N229" t="str">
            <v>競争入札へ移行（機器の入れ替え時において移行を検討）</v>
          </cell>
          <cell r="P229" t="str">
            <v>民×</v>
          </cell>
          <cell r="Q229" t="str">
            <v>民</v>
          </cell>
          <cell r="S229" t="str">
            <v>民21①</v>
          </cell>
          <cell r="U229" t="str">
            <v>民</v>
          </cell>
          <cell r="Z229" t="str">
            <v>①</v>
          </cell>
          <cell r="AA229">
            <v>1700673</v>
          </cell>
          <cell r="AB229">
            <v>1</v>
          </cell>
          <cell r="AC229" t="str">
            <v>17Z133</v>
          </cell>
          <cell r="AD229" t="str">
            <v>無指定</v>
          </cell>
          <cell r="AE229" t="str">
            <v>外研</v>
          </cell>
          <cell r="AF229" t="str">
            <v>会計課調達室／政府調達班</v>
          </cell>
          <cell r="AG229" t="str">
            <v>石井</v>
          </cell>
        </row>
        <row r="230">
          <cell r="A230" t="str">
            <v>民158</v>
          </cell>
          <cell r="B230">
            <v>464</v>
          </cell>
          <cell r="C230" t="str">
            <v>ｼｬﾀﾞﾝﾄｳｷｮｳｼｮｳﾎﾞｳ</v>
          </cell>
          <cell r="E230">
            <v>158</v>
          </cell>
          <cell r="F230" t="str">
            <v>社団法人東京消防設備保守協会</v>
          </cell>
          <cell r="G230" t="str">
            <v>東京都新宿区矢来町８１－３</v>
          </cell>
          <cell r="H230" t="str">
            <v>研修所消防設備の保守契約</v>
          </cell>
          <cell r="I230" t="str">
            <v>外務省大臣官房会計課長　上月豊久　東京都千代田区霞が関２－２－１</v>
          </cell>
          <cell r="J230">
            <v>38443</v>
          </cell>
          <cell r="K230">
            <v>2720235</v>
          </cell>
          <cell r="L230" t="str">
            <v>研修所設備に多数配置されている消防設備は機会警備システムと連動していることから配線等が複雑であり、研修所開所以来一貫して本業務を請け負い、業務内容を熟知している契約相手先に委嘱することが最適である（会計法第２９条の３第４項）。</v>
          </cell>
          <cell r="M230" t="str">
            <v>見直しの余地があるもの</v>
          </cell>
          <cell r="N230" t="str">
            <v>競争入札への移行を検討中(１８年度から。少額の場合には見積もりあわせを実施）</v>
          </cell>
          <cell r="P230" t="str">
            <v>民×</v>
          </cell>
          <cell r="Q230" t="str">
            <v>民</v>
          </cell>
          <cell r="S230" t="str">
            <v>民18①</v>
          </cell>
          <cell r="U230" t="str">
            <v>民</v>
          </cell>
          <cell r="W230" t="str">
            <v>①</v>
          </cell>
          <cell r="AA230">
            <v>1700688</v>
          </cell>
          <cell r="AB230">
            <v>1</v>
          </cell>
          <cell r="AC230" t="str">
            <v>17Z132</v>
          </cell>
          <cell r="AD230" t="str">
            <v>無指定</v>
          </cell>
          <cell r="AE230" t="str">
            <v>外研</v>
          </cell>
          <cell r="AF230" t="str">
            <v>会計課調達室／政府調達班</v>
          </cell>
          <cell r="AG230" t="str">
            <v>石井</v>
          </cell>
        </row>
        <row r="231">
          <cell r="A231" t="str">
            <v>民159</v>
          </cell>
          <cell r="B231">
            <v>465</v>
          </cell>
          <cell r="C231" t="str">
            <v>ｻﾞｲｶﾝﾄｳ</v>
          </cell>
          <cell r="E231">
            <v>159</v>
          </cell>
          <cell r="F231" t="str">
            <v>財団法人関東電気保安協会</v>
          </cell>
          <cell r="G231" t="str">
            <v>神奈川県横浜市南区高砂町１－１７</v>
          </cell>
          <cell r="H231" t="str">
            <v>研修所自家用電気工作物の保守契約</v>
          </cell>
          <cell r="I231" t="str">
            <v>外務省大臣官房会計課長　上月豊久　東京都千代田区霞が関２－２－１</v>
          </cell>
          <cell r="J231">
            <v>38443</v>
          </cell>
          <cell r="K231">
            <v>1030260</v>
          </cell>
          <cell r="L231" t="str">
            <v>研修所設備の保安管理業務は電気工作物の技術的知識や電気事業法に基づく各種届出等の専門知識を要するため、同協会へ業務委託する事が不可欠である（会計法第２９条の３第４項）</v>
          </cell>
          <cell r="M231" t="str">
            <v>見直しの余地があるもの</v>
          </cell>
          <cell r="N231" t="str">
            <v>競争入札への移行を検討中(１９年度から。少額の場合には見積もりあわせを実施）</v>
          </cell>
          <cell r="P231" t="str">
            <v>民×</v>
          </cell>
          <cell r="Q231" t="str">
            <v>民</v>
          </cell>
          <cell r="S231" t="str">
            <v>民19①</v>
          </cell>
          <cell r="U231" t="str">
            <v>民</v>
          </cell>
          <cell r="X231" t="str">
            <v>①</v>
          </cell>
          <cell r="AA231">
            <v>1700683</v>
          </cell>
          <cell r="AB231">
            <v>1</v>
          </cell>
          <cell r="AC231" t="str">
            <v>17Z130</v>
          </cell>
          <cell r="AD231" t="str">
            <v>無指定</v>
          </cell>
          <cell r="AE231" t="str">
            <v>外研</v>
          </cell>
          <cell r="AF231" t="str">
            <v>会計課調達室／政府調達班</v>
          </cell>
          <cell r="AG231" t="str">
            <v>石井</v>
          </cell>
        </row>
        <row r="232">
          <cell r="A232" t="str">
            <v>民160</v>
          </cell>
          <cell r="B232">
            <v>466</v>
          </cell>
          <cell r="C232" t="str">
            <v>ﾌｼﾞｾﾞﾛ</v>
          </cell>
          <cell r="E232">
            <v>160</v>
          </cell>
          <cell r="F232" t="str">
            <v>富士ゼロックス株式会社</v>
          </cell>
          <cell r="G232" t="str">
            <v>神奈川県横浜市西区みなとみらい２－１－１</v>
          </cell>
          <cell r="H232" t="str">
            <v>研修所インターネットＬＡＮ環境の保守契約</v>
          </cell>
          <cell r="I232" t="str">
            <v>外務省大臣官房会計課長　上月豊久　東京都千代田区霞が関２－２－１</v>
          </cell>
          <cell r="J232">
            <v>38443</v>
          </cell>
          <cell r="K232">
            <v>2345196</v>
          </cell>
          <cell r="L232"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232" t="str">
            <v>見直しの余地があるもの</v>
          </cell>
          <cell r="N232" t="str">
            <v>競争入札に移行（システムの入れ替え時において実施）</v>
          </cell>
          <cell r="P232" t="str">
            <v>民×</v>
          </cell>
          <cell r="Q232" t="str">
            <v>民</v>
          </cell>
          <cell r="S232" t="str">
            <v>民21①</v>
          </cell>
          <cell r="U232" t="str">
            <v>民</v>
          </cell>
          <cell r="Z232" t="str">
            <v>①</v>
          </cell>
          <cell r="AA232">
            <v>1700495</v>
          </cell>
          <cell r="AB232">
            <v>1</v>
          </cell>
          <cell r="AC232" t="str">
            <v>17Z063</v>
          </cell>
          <cell r="AD232" t="str">
            <v>無指定</v>
          </cell>
          <cell r="AE232" t="str">
            <v>外研</v>
          </cell>
          <cell r="AF232" t="str">
            <v>会計課調達室／サービス調達第３班</v>
          </cell>
          <cell r="AG232" t="str">
            <v>西村</v>
          </cell>
          <cell r="AI232" t="str">
            <v>本ｼｽﾃﾑは契約先がｼｽﾃﾑ構築を行ったものであり、ｼｽﾃﾑの中心機器であるﾚﾝﾀﾙｻｰﾊﾞの所有者であることから競争を許さない。
競争性のある方式への移行は、ｼｽﾃﾑ入替時に行う以外ないが、入替時にはかなりの初期投資が必要となる。
現ｼｽﾃﾑは現在のところ不具合もなく稼働しており、敢えて初期投資を行って新たなｼｽﾃﾑを導入する必要性がない。また、21年度から実施の市場化ﾃｽﾄ導入のための設備管理業務の統合を検討しており、本件も対象としていることから、20年度1年間だけのためにかなりの初期投資経費を投入することは不経済かつ不合理であるため。</v>
          </cell>
          <cell r="AJ232" t="str">
            <v>平成21年度
設備管理業務が「市場化ﾃｽﾄ」のたいしょうとなり、平成21年度より設備管理業務全体を見直した包括契約に移行する</v>
          </cell>
        </row>
        <row r="233">
          <cell r="A233" t="str">
            <v>民161</v>
          </cell>
          <cell r="B233">
            <v>467</v>
          </cell>
          <cell r="C233" t="str">
            <v>ｴﾊﾗﾚｲﾈﾂ</v>
          </cell>
          <cell r="E233">
            <v>161</v>
          </cell>
          <cell r="F233" t="str">
            <v>荏原冷熱システム株式会社</v>
          </cell>
          <cell r="G233" t="str">
            <v>神奈川県横浜市港北区新横浜１－９－１</v>
          </cell>
          <cell r="H233" t="str">
            <v>研修所吸収冷温水機他空調設備の保守契約</v>
          </cell>
          <cell r="I233" t="str">
            <v>外務省大臣官房会計課長　上月豊久　東京都千代田区霞が関２－２－１</v>
          </cell>
          <cell r="J233">
            <v>38443</v>
          </cell>
          <cell r="K233">
            <v>2556750</v>
          </cell>
          <cell r="L233" t="str">
            <v>本機器の製造を行った会社が同システムの保守を行うものであり、競争を許さない（会計法第２９条の３第４項）。</v>
          </cell>
          <cell r="M233" t="str">
            <v>見直しの余地があるもの</v>
          </cell>
          <cell r="N233" t="str">
            <v>競争入札へ移行（機器の入れ替え時において移行を検討）</v>
          </cell>
          <cell r="P233" t="str">
            <v>民×</v>
          </cell>
          <cell r="Q233" t="str">
            <v>民</v>
          </cell>
          <cell r="S233" t="str">
            <v>民21①</v>
          </cell>
          <cell r="U233" t="str">
            <v>民</v>
          </cell>
          <cell r="Z233" t="str">
            <v>①</v>
          </cell>
          <cell r="AA233">
            <v>1700678</v>
          </cell>
          <cell r="AB233">
            <v>1</v>
          </cell>
          <cell r="AC233" t="str">
            <v>17Z136</v>
          </cell>
          <cell r="AD233" t="str">
            <v>無指定</v>
          </cell>
          <cell r="AE233" t="str">
            <v>外研</v>
          </cell>
          <cell r="AF233" t="str">
            <v>会計課調達室／政府調達班</v>
          </cell>
          <cell r="AG233" t="str">
            <v>石井</v>
          </cell>
        </row>
        <row r="234">
          <cell r="A234" t="str">
            <v>民162</v>
          </cell>
          <cell r="B234">
            <v>468</v>
          </cell>
          <cell r="C234" t="str">
            <v>ｶﾌﾞﾔﾏ</v>
          </cell>
          <cell r="E234">
            <v>162</v>
          </cell>
          <cell r="F234" t="str">
            <v>株式会社山武</v>
          </cell>
          <cell r="G234" t="str">
            <v>東京都渋谷区渋谷２－１２－１９</v>
          </cell>
          <cell r="H234" t="str">
            <v>研修所空気清浄機の保守契約</v>
          </cell>
          <cell r="I234" t="str">
            <v>外務省大臣官房会計課長　上月豊久　東京都千代田区霞が関２－２－１</v>
          </cell>
          <cell r="J234">
            <v>38443</v>
          </cell>
          <cell r="K234">
            <v>1896720</v>
          </cell>
          <cell r="L234" t="str">
            <v>本件機器の製造メーカーが、自社製品やカスタマイズされた独自の機器、装置を使用しているため、その保守を行えるのは当該業者以外になく、他に競争を許さない（会計法第２９条の３第４項）。</v>
          </cell>
          <cell r="M234" t="str">
            <v>見直しの余地があるもの</v>
          </cell>
          <cell r="N234" t="str">
            <v>競争入札へ移行（機器の入れ替え時において移行を検討）</v>
          </cell>
          <cell r="P234" t="str">
            <v>民×</v>
          </cell>
          <cell r="Q234" t="str">
            <v>民</v>
          </cell>
          <cell r="S234" t="str">
            <v>民21①</v>
          </cell>
          <cell r="U234" t="str">
            <v>民</v>
          </cell>
          <cell r="Z234" t="str">
            <v>①</v>
          </cell>
          <cell r="AA234">
            <v>1700675</v>
          </cell>
          <cell r="AB234">
            <v>1</v>
          </cell>
          <cell r="AC234" t="str">
            <v>17Z135</v>
          </cell>
          <cell r="AD234" t="str">
            <v>無指定</v>
          </cell>
          <cell r="AE234" t="str">
            <v>外研</v>
          </cell>
          <cell r="AF234" t="str">
            <v>会計課調達室／政府調達班</v>
          </cell>
          <cell r="AG234" t="str">
            <v>石井</v>
          </cell>
        </row>
        <row r="235">
          <cell r="A235" t="str">
            <v>民163</v>
          </cell>
          <cell r="B235">
            <v>469</v>
          </cell>
          <cell r="C235" t="str">
            <v>ﾀﾞｲｷﾝ</v>
          </cell>
          <cell r="E235">
            <v>163</v>
          </cell>
          <cell r="F235" t="str">
            <v>ダイキンエアテクノ関東株式会社</v>
          </cell>
          <cell r="G235" t="str">
            <v>神奈川県相模原市上鶴間６－６－１１</v>
          </cell>
          <cell r="H235" t="str">
            <v>研修所空調設備の保守契約</v>
          </cell>
          <cell r="I235" t="str">
            <v>外務省大臣官房会計課長　上月豊久　東京都千代田区霞が関２－２－１</v>
          </cell>
          <cell r="J235">
            <v>38443</v>
          </cell>
          <cell r="K235">
            <v>3608850</v>
          </cell>
          <cell r="L235" t="str">
            <v>本件設備の製造メーカーが同設備の保守を行うものであり、他に競争を許さない（会計法第２９条の３第４項）。</v>
          </cell>
          <cell r="M235" t="str">
            <v>見直しの余地があるもの</v>
          </cell>
          <cell r="N235" t="str">
            <v>競争入札へ移行（機器の入れ替え時において移行を検討）</v>
          </cell>
          <cell r="P235" t="str">
            <v>民×</v>
          </cell>
          <cell r="Q235" t="str">
            <v>民</v>
          </cell>
          <cell r="S235" t="str">
            <v>民21①</v>
          </cell>
          <cell r="U235" t="str">
            <v>民</v>
          </cell>
          <cell r="Z235" t="str">
            <v>①</v>
          </cell>
          <cell r="AA235">
            <v>1700686</v>
          </cell>
          <cell r="AB235">
            <v>1</v>
          </cell>
          <cell r="AC235" t="str">
            <v>17Z134</v>
          </cell>
          <cell r="AD235" t="str">
            <v>無指定</v>
          </cell>
          <cell r="AE235" t="str">
            <v>外研</v>
          </cell>
          <cell r="AF235" t="str">
            <v>会計課調達室／政府調達班</v>
          </cell>
          <cell r="AG235" t="str">
            <v>石井</v>
          </cell>
        </row>
        <row r="236">
          <cell r="A236" t="str">
            <v>民164</v>
          </cell>
          <cell r="B236">
            <v>470</v>
          </cell>
          <cell r="C236" t="str">
            <v>ｶﾌﾞﾏﾙﾑ</v>
          </cell>
          <cell r="E236">
            <v>164</v>
          </cell>
          <cell r="F236" t="str">
            <v>株式会社マルム商会</v>
          </cell>
          <cell r="G236" t="str">
            <v>神奈川県横浜市西区戸部本町１３－１１</v>
          </cell>
          <cell r="H236" t="str">
            <v>研修所設備管理業務契約</v>
          </cell>
          <cell r="I236" t="str">
            <v>外務省大臣官房会計課長　上月豊久　東京都千代田区霞が関２－２－１</v>
          </cell>
          <cell r="J236">
            <v>38443</v>
          </cell>
          <cell r="K236">
            <v>5544000</v>
          </cell>
          <cell r="L236" t="str">
            <v>本件は研修棟、合宿棟の電気、冷暖房、衛生設備の保守を一括して委嘱するものであり、業者の変更は設備運転の非効率化を招くおそれがあることから経済性及び業務効率性の面からも支障がある。安定した研修所運営のためには引き続き同社との契約が必要であり、他に競争を許さない（会計法第２９条の３第４項）。</v>
          </cell>
          <cell r="M236" t="str">
            <v>見直しの余地があるもの</v>
          </cell>
          <cell r="N236" t="str">
            <v>将来的には競争入札へ移行を検討(平成２１年度以降検討)</v>
          </cell>
          <cell r="P236" t="str">
            <v>民×</v>
          </cell>
          <cell r="Q236" t="str">
            <v>民</v>
          </cell>
          <cell r="S236" t="str">
            <v>民21①</v>
          </cell>
          <cell r="U236" t="str">
            <v>民</v>
          </cell>
          <cell r="Z236" t="str">
            <v>①</v>
          </cell>
          <cell r="AA236">
            <v>1700676</v>
          </cell>
          <cell r="AB236">
            <v>1</v>
          </cell>
          <cell r="AC236" t="str">
            <v>17Z137</v>
          </cell>
          <cell r="AD236" t="str">
            <v>無指定</v>
          </cell>
          <cell r="AE236" t="str">
            <v>外研</v>
          </cell>
          <cell r="AF236" t="str">
            <v>会計課調達室／政府調達班</v>
          </cell>
          <cell r="AG236" t="str">
            <v>石井</v>
          </cell>
        </row>
        <row r="237">
          <cell r="A237" t="str">
            <v>民165</v>
          </cell>
          <cell r="B237">
            <v>471</v>
          </cell>
          <cell r="C237" t="str">
            <v>ｶﾌﾞｱｳﾞｧﾝﾃｨ</v>
          </cell>
          <cell r="E237">
            <v>165</v>
          </cell>
          <cell r="F237" t="str">
            <v>株式会社アヴァンティスタッフ</v>
          </cell>
          <cell r="G237" t="str">
            <v>東京都中央区八重洲２－６－２１</v>
          </cell>
          <cell r="H237" t="str">
            <v>第４部英語研修</v>
          </cell>
          <cell r="I237" t="str">
            <v>外務省大臣官房会計課長　上月豊久　東京都千代田区霞が関２－２－１</v>
          </cell>
          <cell r="J237">
            <v>38443</v>
          </cell>
          <cell r="K237">
            <v>5599333</v>
          </cell>
          <cell r="L237"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237" t="str">
            <v>見直しの余地があるもの</v>
          </cell>
          <cell r="N237" t="str">
            <v>企画招請を実施（１８年度以降も引き続き実施）</v>
          </cell>
          <cell r="P237" t="str">
            <v>民○</v>
          </cell>
          <cell r="Q237" t="str">
            <v>民</v>
          </cell>
          <cell r="R237" t="str">
            <v>○</v>
          </cell>
          <cell r="S237" t="str">
            <v>民18②</v>
          </cell>
          <cell r="U237" t="str">
            <v>民</v>
          </cell>
          <cell r="W237" t="str">
            <v>②</v>
          </cell>
        </row>
        <row r="238">
          <cell r="A238" t="str">
            <v>民166</v>
          </cell>
          <cell r="B238">
            <v>472</v>
          </cell>
          <cell r="C238" t="str">
            <v>ｶﾌﾞｱｳﾞｧﾝﾃｨ</v>
          </cell>
          <cell r="E238">
            <v>166</v>
          </cell>
          <cell r="F238" t="str">
            <v>株式会社アヴァンティスタッフ</v>
          </cell>
          <cell r="G238" t="str">
            <v>東京都中央区八重洲２－６－２１</v>
          </cell>
          <cell r="H238" t="str">
            <v>英語電子メール添削研修</v>
          </cell>
          <cell r="I238" t="str">
            <v>外務省大臣官房会計課長　上月豊久　東京都千代田区霞が関２－２－１</v>
          </cell>
          <cell r="J238">
            <v>38443</v>
          </cell>
          <cell r="K238">
            <v>4725000</v>
          </cell>
          <cell r="L238"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238" t="str">
            <v>見直しの余地があるもの</v>
          </cell>
          <cell r="N238" t="str">
            <v>企画招請を実施（１８年度以降も引き続き実施）</v>
          </cell>
          <cell r="P238" t="str">
            <v>民○</v>
          </cell>
          <cell r="Q238" t="str">
            <v>民</v>
          </cell>
          <cell r="R238" t="str">
            <v>○</v>
          </cell>
          <cell r="S238" t="str">
            <v>民18②</v>
          </cell>
          <cell r="U238" t="str">
            <v>民</v>
          </cell>
          <cell r="W238" t="str">
            <v>②</v>
          </cell>
          <cell r="AA238">
            <v>1700036</v>
          </cell>
          <cell r="AB238">
            <v>1</v>
          </cell>
          <cell r="AC238" t="str">
            <v>17G246</v>
          </cell>
          <cell r="AD238" t="str">
            <v>無指定</v>
          </cell>
          <cell r="AE238" t="str">
            <v>外研</v>
          </cell>
          <cell r="AF238" t="str">
            <v>会計課調達室／サービス調達第１班</v>
          </cell>
          <cell r="AG238" t="str">
            <v>村松</v>
          </cell>
        </row>
        <row r="239">
          <cell r="A239" t="str">
            <v>民167</v>
          </cell>
          <cell r="B239">
            <v>473</v>
          </cell>
          <cell r="C239" t="str">
            <v>ﾋﾞｰﾋﾞｰｼｰ</v>
          </cell>
          <cell r="E239">
            <v>167</v>
          </cell>
          <cell r="F239" t="str">
            <v>ＢＢＣ　Ｗｏｒｌｄ　ディストリビューション・ジャパン株式会社</v>
          </cell>
          <cell r="G239" t="str">
            <v>東京都港区赤坂４－９－１７</v>
          </cell>
          <cell r="H239" t="str">
            <v>ＢＢＣ放送受信契約</v>
          </cell>
          <cell r="I239" t="str">
            <v>外務省大臣官房会計課長　上月豊久　東京都千代田区霞が関２－２－１</v>
          </cell>
          <cell r="J239">
            <v>38443</v>
          </cell>
          <cell r="K239">
            <v>3402000</v>
          </cell>
          <cell r="L239" t="str">
            <v>ＢＢＣ放送を行っている放送会社との受信契約であり、他に競争を許さない（会計法第２９条の３第４項）。</v>
          </cell>
          <cell r="M239" t="str">
            <v>その他のもの</v>
          </cell>
          <cell r="N239" t="str">
            <v>随意契約によらざるを得ないもの</v>
          </cell>
          <cell r="P239" t="str">
            <v>民×</v>
          </cell>
          <cell r="Q239" t="str">
            <v>民</v>
          </cell>
          <cell r="S239" t="str">
            <v>民1</v>
          </cell>
          <cell r="U239" t="str">
            <v>民</v>
          </cell>
          <cell r="V239" t="str">
            <v>●</v>
          </cell>
          <cell r="AA239">
            <v>1700266</v>
          </cell>
          <cell r="AB239">
            <v>1</v>
          </cell>
          <cell r="AC239" t="str">
            <v>17W136</v>
          </cell>
          <cell r="AD239" t="str">
            <v>無指定</v>
          </cell>
          <cell r="AE239" t="str">
            <v>情報１</v>
          </cell>
          <cell r="AF239" t="str">
            <v>会計課調達室／物品調達班</v>
          </cell>
          <cell r="AG239" t="str">
            <v>加藤</v>
          </cell>
          <cell r="AI239" t="str">
            <v>行政目的を達成するために不可欠な情報の提供</v>
          </cell>
          <cell r="AJ239" t="str">
            <v>ニ（ヘ）</v>
          </cell>
        </row>
        <row r="240">
          <cell r="A240" t="str">
            <v>民168</v>
          </cell>
          <cell r="B240">
            <v>474</v>
          </cell>
          <cell r="C240" t="str">
            <v>ｶﾌﾞｻﾝ</v>
          </cell>
          <cell r="E240">
            <v>168</v>
          </cell>
          <cell r="F240" t="str">
            <v>株式会社サンエツ</v>
          </cell>
          <cell r="G240" t="str">
            <v>東京都中野区中野１－６２－１０</v>
          </cell>
          <cell r="H240" t="str">
            <v>空気清浄機の保守点検契約</v>
          </cell>
          <cell r="I240" t="str">
            <v>外務省大臣官房会計課長　上月豊久　東京都千代田区霞が関２－２－１</v>
          </cell>
          <cell r="J240">
            <v>38443</v>
          </cell>
          <cell r="K240">
            <v>1925700</v>
          </cell>
          <cell r="L240" t="str">
            <v>本件点検対象空気清浄機の製造メーカー指定の保守業者が保守を行うものであり、競争を許さない（会計法第２９条の３第４項）。</v>
          </cell>
          <cell r="M240" t="str">
            <v>見直しの余地があるもの</v>
          </cell>
          <cell r="N240" t="str">
            <v>競争入札へ移行（１９年度より実施）</v>
          </cell>
          <cell r="P240" t="str">
            <v>民×</v>
          </cell>
          <cell r="Q240" t="str">
            <v>民</v>
          </cell>
          <cell r="S240" t="str">
            <v>民19①</v>
          </cell>
          <cell r="U240" t="str">
            <v>民</v>
          </cell>
          <cell r="X240" t="str">
            <v>①</v>
          </cell>
          <cell r="AA240">
            <v>1700071</v>
          </cell>
          <cell r="AB240">
            <v>1</v>
          </cell>
          <cell r="AC240" t="str">
            <v>17Q157</v>
          </cell>
          <cell r="AD240" t="str">
            <v>無指定</v>
          </cell>
          <cell r="AE240" t="str">
            <v>厚</v>
          </cell>
          <cell r="AF240" t="str">
            <v>会計課調達室／物品調達班</v>
          </cell>
          <cell r="AG240" t="str">
            <v>宮田</v>
          </cell>
        </row>
        <row r="241">
          <cell r="A241" t="str">
            <v>民169</v>
          </cell>
          <cell r="B241">
            <v>475</v>
          </cell>
          <cell r="C241" t="str">
            <v>ｼﾝﾆｯﾃﾂ</v>
          </cell>
          <cell r="E241">
            <v>169</v>
          </cell>
          <cell r="F241" t="str">
            <v>新日鉄ソリューションズ株式会社</v>
          </cell>
          <cell r="G241" t="str">
            <v>東京都中央区新川２－２０－１５</v>
          </cell>
          <cell r="H241" t="str">
            <v>「外務省情報公開事務支援システム」の運用保守契約</v>
          </cell>
          <cell r="I241" t="str">
            <v>外務省大臣官房会計課長　上月豊久　東京都千代田区霞が関２－２－１</v>
          </cell>
          <cell r="J241">
            <v>38443</v>
          </cell>
          <cell r="K241">
            <v>6405000</v>
          </cell>
          <cell r="L241"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241" t="str">
            <v>見直しの余地があるもの</v>
          </cell>
          <cell r="N241" t="str">
            <v>競争入札に移行（２０年度のシステム入替時に実施予定）</v>
          </cell>
          <cell r="P241" t="str">
            <v>民×</v>
          </cell>
          <cell r="Q241" t="str">
            <v>民</v>
          </cell>
          <cell r="S241" t="str">
            <v>民20①</v>
          </cell>
          <cell r="U241" t="str">
            <v>民</v>
          </cell>
          <cell r="Y241" t="str">
            <v>①</v>
          </cell>
          <cell r="AA241">
            <v>1700162</v>
          </cell>
          <cell r="AB241">
            <v>1</v>
          </cell>
          <cell r="AC241" t="str">
            <v>17W150</v>
          </cell>
          <cell r="AD241" t="str">
            <v>無指定</v>
          </cell>
          <cell r="AE241" t="str">
            <v>公開</v>
          </cell>
          <cell r="AF241" t="str">
            <v>会計課調達室／サービス調達第３班</v>
          </cell>
          <cell r="AG241" t="str">
            <v>西村</v>
          </cell>
        </row>
        <row r="242">
          <cell r="A242" t="str">
            <v>民170</v>
          </cell>
          <cell r="B242">
            <v>476</v>
          </cell>
          <cell r="C242" t="str">
            <v>ｴﾇﾃｨﾃｨｰﾗｰﾆﾝｸﾞ</v>
          </cell>
          <cell r="E242">
            <v>170</v>
          </cell>
          <cell r="F242" t="str">
            <v>ＮＴＴラーニングシステムズ株式会社</v>
          </cell>
          <cell r="G242" t="str">
            <v>東京都港区南麻布１－６－１５</v>
          </cell>
          <cell r="H242" t="str">
            <v>外務省ホームページの運用</v>
          </cell>
          <cell r="I242" t="str">
            <v>外務省大臣官房会計課長　上月豊久　東京都千代田区霞が関２－２－１</v>
          </cell>
          <cell r="J242">
            <v>38443</v>
          </cell>
          <cell r="K242">
            <v>61860128</v>
          </cell>
          <cell r="L242" t="str">
            <v>平成１４年度に一般競争入札（期間４８ヶ月。但し契約自体は単年度）で契約した外務省ホームページ運用業務の継続契約（会計法第２９条の３第４項、特例政令に該当）。</v>
          </cell>
          <cell r="M242" t="str">
            <v>見直しの余地があるもの</v>
          </cell>
          <cell r="N242" t="str">
            <v>競争入札へ移行（１９年度以降ＨＰサーバの統合の際実施予定）</v>
          </cell>
          <cell r="P242" t="str">
            <v>民×</v>
          </cell>
          <cell r="Q242" t="str">
            <v>民</v>
          </cell>
          <cell r="S242" t="str">
            <v>民19①</v>
          </cell>
          <cell r="U242" t="str">
            <v>民</v>
          </cell>
          <cell r="X242" t="str">
            <v>①</v>
          </cell>
          <cell r="AA242">
            <v>1700408</v>
          </cell>
          <cell r="AB242">
            <v>1</v>
          </cell>
          <cell r="AD242" t="str">
            <v>無指定</v>
          </cell>
          <cell r="AE242" t="str">
            <v>広文総</v>
          </cell>
          <cell r="AF242" t="str">
            <v>会計課調達室／サービス調達第１班</v>
          </cell>
          <cell r="AG242" t="str">
            <v>村松</v>
          </cell>
          <cell r="AI242" t="str">
            <v>※各々で契約していたホームページ(10件）のサーバを統合し、システム関係及び掲載作業関連の5件の契約に統合した（平成19年度）</v>
          </cell>
        </row>
        <row r="243">
          <cell r="A243" t="str">
            <v>民171</v>
          </cell>
          <cell r="B243">
            <v>477</v>
          </cell>
          <cell r="C243" t="str">
            <v>ｶﾌﾞｼﾞｬﾊﾟﾝｴｺｰ</v>
          </cell>
          <cell r="E243">
            <v>171</v>
          </cell>
          <cell r="F243" t="str">
            <v>株式会社ジャパンエコー社</v>
          </cell>
          <cell r="G243" t="str">
            <v>東京都千代田区内幸町２－２－１</v>
          </cell>
          <cell r="H243" t="str">
            <v>Ｗｅｂ　Ｊａｐａｎホームページ「Ｋｉｄｓ　Ｗｅｂ　Ｊａｐａｎ」の更新業務契約</v>
          </cell>
          <cell r="I243" t="str">
            <v>外務省大臣官房会計課長　上月豊久　東京都千代田区霞が関２－２－１</v>
          </cell>
          <cell r="J243">
            <v>38443</v>
          </cell>
          <cell r="K243">
            <v>13968612</v>
          </cell>
          <cell r="L243" t="str">
            <v>平成１５年度における企画招請の結果採用された業者との契約である。同社に継続して委嘱することが業務効率の面からも合理的である（会計法第２９条の３第４項）。</v>
          </cell>
          <cell r="M243" t="str">
            <v>見直しの余地があるもの</v>
          </cell>
          <cell r="N243" t="str">
            <v>企画招請を実施（１８年度）</v>
          </cell>
          <cell r="P243" t="str">
            <v>民×</v>
          </cell>
          <cell r="Q243" t="str">
            <v>民</v>
          </cell>
          <cell r="S243" t="str">
            <v>民18②</v>
          </cell>
          <cell r="U243" t="str">
            <v>民</v>
          </cell>
          <cell r="W243" t="str">
            <v>②</v>
          </cell>
          <cell r="AA243">
            <v>1700310</v>
          </cell>
          <cell r="AB243">
            <v>1</v>
          </cell>
          <cell r="AD243" t="str">
            <v>無指定</v>
          </cell>
          <cell r="AE243" t="str">
            <v>広文総</v>
          </cell>
          <cell r="AF243" t="str">
            <v>会計課調達室／サービス調達第１班</v>
          </cell>
          <cell r="AG243" t="str">
            <v>村松</v>
          </cell>
        </row>
        <row r="244">
          <cell r="A244" t="str">
            <v>民172</v>
          </cell>
          <cell r="B244">
            <v>478</v>
          </cell>
          <cell r="C244" t="str">
            <v>ｶﾌﾞｼﾞｬﾊﾟﾝｴｺｰ</v>
          </cell>
          <cell r="E244">
            <v>172</v>
          </cell>
          <cell r="F244" t="str">
            <v>株式会社ジャパンエコー社</v>
          </cell>
          <cell r="G244" t="str">
            <v>東京都千代田区内幸町２－２－１</v>
          </cell>
          <cell r="H244" t="str">
            <v>Ｗｅｂ　Ｊａｐａｎホームページ「Ｔｒｅｎｄｓ　ｉｎ　Ｊａｐａｎ」の更新業務契約</v>
          </cell>
          <cell r="I244" t="str">
            <v>外務省大臣官房会計課長　上月豊久　東京都千代田区霞が関２－２－１</v>
          </cell>
          <cell r="J244">
            <v>38443</v>
          </cell>
          <cell r="K244">
            <v>13089762</v>
          </cell>
          <cell r="L244" t="str">
            <v>平成１６年度における企画招請の結果採用された業者との契約である。同社に継続して委嘱することが業務効率の面からも合理的である（会計法第２９条の３第４項）。</v>
          </cell>
          <cell r="M244" t="str">
            <v>見直しの余地があるもの</v>
          </cell>
          <cell r="N244" t="str">
            <v>企画招請を実施（１９年度予定）</v>
          </cell>
          <cell r="P244" t="str">
            <v>民×</v>
          </cell>
          <cell r="Q244" t="str">
            <v>民</v>
          </cell>
          <cell r="S244" t="str">
            <v>民19②</v>
          </cell>
          <cell r="U244" t="str">
            <v>民</v>
          </cell>
          <cell r="X244" t="str">
            <v>②</v>
          </cell>
          <cell r="AA244">
            <v>1700308</v>
          </cell>
          <cell r="AB244">
            <v>1</v>
          </cell>
          <cell r="AD244" t="str">
            <v>無指定</v>
          </cell>
          <cell r="AE244" t="str">
            <v>広文総</v>
          </cell>
          <cell r="AF244" t="str">
            <v>会計課調達室／サービス調達第１班</v>
          </cell>
          <cell r="AG244" t="str">
            <v>村松</v>
          </cell>
        </row>
        <row r="245">
          <cell r="A245" t="str">
            <v>民173</v>
          </cell>
          <cell r="B245">
            <v>479</v>
          </cell>
          <cell r="C245" t="str">
            <v>ｶﾌﾞﾍｲ</v>
          </cell>
          <cell r="E245">
            <v>173</v>
          </cell>
          <cell r="F245" t="str">
            <v>株式会社平凡社</v>
          </cell>
          <cell r="G245" t="str">
            <v>東京都文京区白山２－２９－４　</v>
          </cell>
          <cell r="H245" t="str">
            <v>Ｗｅｂ　Ｊａｐａｎホームページ「にっぽにあ」の更新業務契約</v>
          </cell>
          <cell r="I245" t="str">
            <v>外務省大臣官房会計課長　上月豊久　東京都千代田区霞が関２－２－１</v>
          </cell>
          <cell r="J245">
            <v>38443</v>
          </cell>
          <cell r="K245">
            <v>13994820</v>
          </cell>
          <cell r="L245" t="str">
            <v>「にっぽにあ」のテキスト及び画像の著作権を有する同社のみが本件更新作業を行うことが可能である（会計法第２９条の３第４項）。</v>
          </cell>
          <cell r="M245" t="str">
            <v>その他のもの</v>
          </cell>
          <cell r="N245" t="str">
            <v>随意契約によらざるを得ないもの</v>
          </cell>
          <cell r="P245" t="str">
            <v>民×</v>
          </cell>
          <cell r="Q245" t="str">
            <v>民</v>
          </cell>
          <cell r="S245" t="str">
            <v>民1</v>
          </cell>
          <cell r="U245" t="str">
            <v>民</v>
          </cell>
          <cell r="V245" t="str">
            <v>●</v>
          </cell>
          <cell r="AA245">
            <v>1700485</v>
          </cell>
          <cell r="AB245">
            <v>1</v>
          </cell>
          <cell r="AC245" t="str">
            <v>17W038</v>
          </cell>
          <cell r="AD245" t="str">
            <v>無指定</v>
          </cell>
          <cell r="AE245" t="str">
            <v>広文総</v>
          </cell>
          <cell r="AF245" t="str">
            <v>会計課調達室／サービス調達第１班</v>
          </cell>
          <cell r="AG245" t="str">
            <v>竹澤</v>
          </cell>
          <cell r="AI245" t="str">
            <v>行政目的を達成するために不可欠な業務を提供することが可能な者から提供を受けるもの
※平成２０年度限りの契約
（H21.1.26調査回答）
備考：平成２１年度取りやめ</v>
          </cell>
          <cell r="AJ245" t="str">
            <v>ニ（へ）に準ずる</v>
          </cell>
        </row>
        <row r="246">
          <cell r="A246" t="str">
            <v>民174</v>
          </cell>
          <cell r="B246">
            <v>480</v>
          </cell>
          <cell r="C246" t="str">
            <v>ｴﾇﾃｨﾃｨｺﾑｳｪｱ</v>
          </cell>
          <cell r="E246">
            <v>174</v>
          </cell>
          <cell r="F246" t="str">
            <v>エヌ・ティ・ティ・コムウェア株式会社</v>
          </cell>
          <cell r="G246" t="str">
            <v>東京都港区港南１－９－１</v>
          </cell>
          <cell r="H246" t="str">
            <v>「在外経理システム」運用支援業務</v>
          </cell>
          <cell r="I246" t="str">
            <v>外務省大臣官房会計課長　上月豊久　東京都千代田区霞が関２－２－１</v>
          </cell>
          <cell r="J246">
            <v>38443</v>
          </cell>
          <cell r="K246">
            <v>10143000</v>
          </cell>
          <cell r="L246" t="str">
            <v>システムの運用を円滑にし、障害発生時の対応を迅速にするためには全体機能を熟知している開発元のシステムエンジニアレベルの保守員が必要であり、業務効率・費用面から考えて他に競争を許さない（会計法第２９条の３第４項）。</v>
          </cell>
          <cell r="M246" t="str">
            <v>見直しの余地があるもの</v>
          </cell>
          <cell r="N246" t="str">
            <v>現行システムを全面改造(新たに開発）する際に、本契約の競争入札への移行を検討する</v>
          </cell>
          <cell r="P246" t="str">
            <v>民×</v>
          </cell>
          <cell r="Q246" t="str">
            <v>民</v>
          </cell>
          <cell r="S246" t="str">
            <v>民21①</v>
          </cell>
          <cell r="U246" t="str">
            <v>民</v>
          </cell>
          <cell r="Z246" t="str">
            <v>①</v>
          </cell>
          <cell r="AA246">
            <v>1700456</v>
          </cell>
          <cell r="AB246">
            <v>1</v>
          </cell>
          <cell r="AC246" t="str">
            <v>17W002</v>
          </cell>
          <cell r="AD246" t="str">
            <v>無指定</v>
          </cell>
          <cell r="AE246" t="str">
            <v>在</v>
          </cell>
          <cell r="AF246" t="str">
            <v>会計課調達室／サービス調達第３班</v>
          </cell>
          <cell r="AG246" t="str">
            <v>西村</v>
          </cell>
          <cell r="AI246" t="str">
            <v>本件は、システム開発業者を選定する際に実施した一般競争入札時の条件で、「運用保守・支援体制」も経費に含めており、また、システムの再構築は費用対効果・効率性から合理的でないため、設備の入れ替え、システムの更新時に一般競争入札の実施を予定している。なお、システムの運用を円滑にし、障害発生時の対応を迅速にするためには全体機能を熟知している開発元のシステムエンジニアレベルの保守員が業務効率・費用面から考えて必要である。</v>
          </cell>
          <cell r="AJ246" t="str">
            <v>移行時期については、在外経理システムの最適化計画及び外務省情報ネットワーク最適化計画に基づく開発作業の進捗に大きく影響されるところ、現時点において確定することは困難であるが、新たな在外経理システム（平成24年度予定）の移行時期を踏まえ、検討していく。</v>
          </cell>
        </row>
        <row r="247">
          <cell r="A247" t="str">
            <v>民175</v>
          </cell>
          <cell r="B247">
            <v>481</v>
          </cell>
          <cell r="C247" t="str">
            <v>ｶﾌﾞﾃｨﾋﾞｰｴｽ</v>
          </cell>
          <cell r="E247">
            <v>175</v>
          </cell>
          <cell r="F247" t="str">
            <v>株式会社ティー・ビー・エス・サービス</v>
          </cell>
          <cell r="G247" t="str">
            <v>東京都港区赤坂５－３－６</v>
          </cell>
          <cell r="H247" t="str">
            <v>「テレビ番組録音・録画等」の単価契約</v>
          </cell>
          <cell r="I247" t="str">
            <v>外務省大臣官房会計課長　上月豊久　東京都千代田区霞が関２－２－１</v>
          </cell>
          <cell r="J247">
            <v>38443</v>
          </cell>
          <cell r="K247">
            <v>5995080</v>
          </cell>
          <cell r="L247" t="str">
            <v>ＴＢＳ放送の番組をＶＴＲ録画するものであり、他の放送局において同様のサービスは行われていない事から同社と随意契約せざるを得ない（会計法第２９条の３第４項）。</v>
          </cell>
          <cell r="M247" t="str">
            <v>その他のもの</v>
          </cell>
          <cell r="N247" t="str">
            <v>随意契約によらざるを得ないもの</v>
          </cell>
          <cell r="O247" t="str">
            <v>単価契約</v>
          </cell>
          <cell r="P247" t="str">
            <v>民×</v>
          </cell>
          <cell r="Q247" t="str">
            <v>民</v>
          </cell>
          <cell r="S247" t="str">
            <v>民1</v>
          </cell>
          <cell r="U247" t="str">
            <v>民</v>
          </cell>
          <cell r="V247" t="str">
            <v>●</v>
          </cell>
          <cell r="AA247">
            <v>1700299</v>
          </cell>
          <cell r="AB247">
            <v>1</v>
          </cell>
          <cell r="AD247" t="str">
            <v>無指定</v>
          </cell>
          <cell r="AE247" t="str">
            <v>在</v>
          </cell>
          <cell r="AF247" t="str">
            <v>会計課調達室／サービス調達第１班</v>
          </cell>
          <cell r="AG247" t="str">
            <v>村松</v>
          </cell>
          <cell r="AI247" t="str">
            <v>行政目的を達成するために不可欠な業務を提供することが可能な者から提供を受けるもの</v>
          </cell>
          <cell r="AJ247" t="str">
            <v>ニ（へ）に準ずる</v>
          </cell>
        </row>
        <row r="248">
          <cell r="A248" t="str">
            <v>民176</v>
          </cell>
          <cell r="B248">
            <v>482</v>
          </cell>
          <cell r="C248" t="str">
            <v>ｼｬﾀﾞﾝﾆﾎﾝｹﾞｲｼﾞｭﾂ</v>
          </cell>
          <cell r="E248">
            <v>176</v>
          </cell>
          <cell r="F248" t="str">
            <v>社団法人日本芸実演家団体協議会実演会著作隣権センター他５団体</v>
          </cell>
          <cell r="G248" t="str">
            <v>東京都渋谷区本町１－３－４</v>
          </cell>
          <cell r="H248" t="str">
            <v>「テレビ番組録音・録画テープ著作権の使用」単価契約</v>
          </cell>
          <cell r="I248" t="str">
            <v>外務省大臣官房会計課長　上月豊久　東京都千代田区霞が関２－２－１</v>
          </cell>
          <cell r="J248">
            <v>38443</v>
          </cell>
          <cell r="K248">
            <v>2948400</v>
          </cell>
          <cell r="L248" t="str">
            <v>著作物の実演及びレコード等の補償使用料の契約は、本件契約相手先（６団体）以外と行う事はできないため他に競争を許さない（会計法第２９条の３第４項）。</v>
          </cell>
          <cell r="M248" t="str">
            <v>その他のもの</v>
          </cell>
          <cell r="N248" t="str">
            <v>随意契約によらざるを得ないもの</v>
          </cell>
          <cell r="O248" t="str">
            <v>単価契約</v>
          </cell>
          <cell r="P248" t="str">
            <v>民×</v>
          </cell>
          <cell r="Q248" t="str">
            <v>民</v>
          </cell>
          <cell r="S248" t="str">
            <v>民1</v>
          </cell>
          <cell r="U248" t="str">
            <v>民</v>
          </cell>
          <cell r="V248" t="str">
            <v>●</v>
          </cell>
          <cell r="AA248" t="str">
            <v>H18年4月</v>
          </cell>
          <cell r="AB248" t="str">
            <v>民</v>
          </cell>
          <cell r="AC248">
            <v>19</v>
          </cell>
          <cell r="AI248" t="str">
            <v>行政目的を達成するために不可欠な業務を提供することが可能な者から提供を受けるもの</v>
          </cell>
          <cell r="AJ248" t="str">
            <v>ニ（へ）に準ずる</v>
          </cell>
        </row>
        <row r="249">
          <cell r="A249" t="str">
            <v>民177</v>
          </cell>
          <cell r="B249">
            <v>483</v>
          </cell>
          <cell r="C249" t="str">
            <v>ﾕｳｹﾞﾝｴﾘｺ</v>
          </cell>
          <cell r="E249">
            <v>177</v>
          </cell>
          <cell r="F249" t="str">
            <v>有限会社エリコ通信社</v>
          </cell>
          <cell r="G249" t="str">
            <v>東京都品川区西大井１－１－２－１３０６</v>
          </cell>
          <cell r="H249" t="str">
            <v>「アルジャジーラ放送モニタリング業務」委託契約</v>
          </cell>
          <cell r="I249" t="str">
            <v>外務省大臣官房会計課長　上月豊久　東京都千代田区霞が関２－２－１</v>
          </cell>
          <cell r="J249">
            <v>38443</v>
          </cell>
          <cell r="K249">
            <v>23583797</v>
          </cell>
          <cell r="L249" t="str">
            <v>アラビア語放送のモニタリングを行い直ちに翻訳、編集し報告を作成する業務を行う能力を有するのは現在のところ契約相手先以外に無いことから、他に競争を許さない（会計法第２９条の３第４項）。</v>
          </cell>
          <cell r="M249" t="str">
            <v>見直しの余地があるもの</v>
          </cell>
          <cell r="N249" t="str">
            <v>企画招請を実施（１９年度以降）</v>
          </cell>
          <cell r="P249" t="str">
            <v>民×</v>
          </cell>
          <cell r="Q249" t="str">
            <v>民</v>
          </cell>
          <cell r="S249" t="str">
            <v>民19②</v>
          </cell>
          <cell r="U249" t="str">
            <v>民</v>
          </cell>
          <cell r="X249" t="str">
            <v>②</v>
          </cell>
          <cell r="AA249">
            <v>1700305</v>
          </cell>
          <cell r="AB249">
            <v>1</v>
          </cell>
          <cell r="AD249" t="str">
            <v>無指定</v>
          </cell>
          <cell r="AE249" t="str">
            <v>情報１</v>
          </cell>
          <cell r="AF249" t="str">
            <v>会計課調達室／サービス調達第１班</v>
          </cell>
          <cell r="AG249" t="str">
            <v>村松</v>
          </cell>
        </row>
        <row r="250">
          <cell r="A250" t="str">
            <v>民178</v>
          </cell>
          <cell r="B250">
            <v>484</v>
          </cell>
          <cell r="C250" t="str">
            <v>ｶﾌﾞﾆﾎﾝｹｰ</v>
          </cell>
          <cell r="E250">
            <v>178</v>
          </cell>
          <cell r="F250" t="str">
            <v>株式会社日本ケーブルテレビジョン</v>
          </cell>
          <cell r="G250" t="str">
            <v>東京都港区六本木６－１５－２１</v>
          </cell>
          <cell r="H250" t="str">
            <v>ＣＮＮ放送受信契約</v>
          </cell>
          <cell r="I250" t="str">
            <v>外務省大臣官房会計課長　上月豊久　東京都千代田区霞が関２－２－１</v>
          </cell>
          <cell r="J250">
            <v>38443</v>
          </cell>
          <cell r="K250">
            <v>6930000</v>
          </cell>
          <cell r="L250" t="str">
            <v>ＣＮＮ放送を行っているケーブルテレビ会社との放送受信契約であり、他に競争を許さない（会計法第２９条の３第４項）。</v>
          </cell>
          <cell r="M250" t="str">
            <v>その他のもの</v>
          </cell>
          <cell r="N250" t="str">
            <v>随意契約によらざるを得ないもの</v>
          </cell>
          <cell r="P250" t="str">
            <v>民×</v>
          </cell>
          <cell r="Q250" t="str">
            <v>民</v>
          </cell>
          <cell r="S250" t="str">
            <v>民1</v>
          </cell>
          <cell r="U250" t="str">
            <v>民</v>
          </cell>
          <cell r="V250" t="str">
            <v>●</v>
          </cell>
          <cell r="AA250">
            <v>1700261</v>
          </cell>
          <cell r="AB250">
            <v>1</v>
          </cell>
          <cell r="AC250" t="str">
            <v>17W135</v>
          </cell>
          <cell r="AD250" t="str">
            <v>無指定</v>
          </cell>
          <cell r="AE250" t="str">
            <v>情報１</v>
          </cell>
          <cell r="AF250" t="str">
            <v>会計課調達室／物品調達班</v>
          </cell>
          <cell r="AG250" t="str">
            <v>加藤</v>
          </cell>
          <cell r="AI250" t="str">
            <v>行政目的を達成するために不可欠な情報の提供</v>
          </cell>
          <cell r="AJ250" t="str">
            <v>ニ（ヘ）</v>
          </cell>
        </row>
        <row r="251">
          <cell r="A251" t="str">
            <v>民179</v>
          </cell>
          <cell r="B251">
            <v>485</v>
          </cell>
          <cell r="C251" t="str">
            <v>ﾄｳﾖｳｵﾌｨｽ</v>
          </cell>
          <cell r="E251">
            <v>179</v>
          </cell>
          <cell r="F251" t="str">
            <v>東洋オフィスメーション株式会社</v>
          </cell>
          <cell r="G251" t="str">
            <v>東京都港区芝浦１－１３－１０</v>
          </cell>
          <cell r="H251" t="str">
            <v>「Ｏxford Analytica Daily Brief」に関する契約（継続）</v>
          </cell>
          <cell r="I251" t="str">
            <v>外務省大臣官房会計課長　上月豊久　東京都千代田区霞が関２－２－１</v>
          </cell>
          <cell r="J251">
            <v>38443</v>
          </cell>
          <cell r="K251">
            <v>5544000</v>
          </cell>
          <cell r="L251" t="str">
            <v>本件データベースサービスの運用・情報提供を行う会社との契約であり、他に競争を許さない（会計法第２９条の３第４項）。</v>
          </cell>
          <cell r="M251" t="str">
            <v>その他のもの</v>
          </cell>
          <cell r="N251" t="str">
            <v>随意契約によらざるを得ないもの</v>
          </cell>
          <cell r="P251" t="str">
            <v>民×</v>
          </cell>
          <cell r="Q251" t="str">
            <v>民</v>
          </cell>
          <cell r="S251" t="str">
            <v>民1</v>
          </cell>
          <cell r="U251" t="str">
            <v>民</v>
          </cell>
          <cell r="V251" t="str">
            <v>●</v>
          </cell>
          <cell r="AA251">
            <v>1700481</v>
          </cell>
          <cell r="AB251">
            <v>1</v>
          </cell>
          <cell r="AC251" t="str">
            <v>17W218</v>
          </cell>
          <cell r="AD251" t="str">
            <v>無指定</v>
          </cell>
          <cell r="AE251" t="str">
            <v>情報１</v>
          </cell>
          <cell r="AF251" t="str">
            <v>会計課調達室／サービス調達第３班</v>
          </cell>
          <cell r="AG251" t="str">
            <v>西村</v>
          </cell>
          <cell r="AI251" t="str">
            <v>行政目的を達成するために不可欠な情報の提供</v>
          </cell>
          <cell r="AJ251" t="str">
            <v>ニ（ヘ）</v>
          </cell>
        </row>
        <row r="252">
          <cell r="A252" t="str">
            <v>民180</v>
          </cell>
          <cell r="B252">
            <v>486</v>
          </cell>
          <cell r="C252" t="str">
            <v>ﾚｷｻｽ</v>
          </cell>
          <cell r="E252">
            <v>180</v>
          </cell>
          <cell r="F252" t="str">
            <v xml:space="preserve">LEXIS-NEXIS </v>
          </cell>
          <cell r="G252" t="str">
            <v>9443 Springboro Pike</v>
          </cell>
          <cell r="H252" t="str">
            <v>「Ｌｅｘｉｓ Ｎｅｘｉｓオンライン情報サービス」契約</v>
          </cell>
          <cell r="I252" t="str">
            <v>外務省大臣官房会計課長　上月豊久　東京都千代田区霞が関２－２－１</v>
          </cell>
          <cell r="J252">
            <v>38443</v>
          </cell>
          <cell r="K252">
            <v>1540800</v>
          </cell>
          <cell r="L252" t="str">
            <v>本件データベースサービスの運用・提供を行う会社との契約であり、他に競争を許さない（会計法第２９条の３第４項）。</v>
          </cell>
          <cell r="M252" t="str">
            <v>その他のもの</v>
          </cell>
          <cell r="N252" t="str">
            <v>随意契約によらざるを得ないもの</v>
          </cell>
          <cell r="P252" t="str">
            <v>民×</v>
          </cell>
          <cell r="Q252" t="str">
            <v>民</v>
          </cell>
          <cell r="S252" t="str">
            <v>民1</v>
          </cell>
          <cell r="U252" t="str">
            <v>民</v>
          </cell>
          <cell r="V252" t="str">
            <v>●</v>
          </cell>
          <cell r="AA252">
            <v>1700306</v>
          </cell>
          <cell r="AB252">
            <v>1</v>
          </cell>
          <cell r="AC252" t="str">
            <v>17W006</v>
          </cell>
          <cell r="AD252" t="str">
            <v>無指定</v>
          </cell>
          <cell r="AE252" t="str">
            <v>情報１</v>
          </cell>
          <cell r="AF252" t="str">
            <v>会計課調達室／サービス調達第１班</v>
          </cell>
          <cell r="AG252" t="str">
            <v>村松</v>
          </cell>
          <cell r="AI252" t="str">
            <v>行政目的を達成するために不可欠な情報の提供</v>
          </cell>
          <cell r="AJ252" t="str">
            <v>ニ（ヘ）</v>
          </cell>
        </row>
        <row r="253">
          <cell r="A253" t="str">
            <v>民181</v>
          </cell>
          <cell r="B253">
            <v>487</v>
          </cell>
          <cell r="C253" t="str">
            <v>ｲﾀﾙﾀｽ</v>
          </cell>
          <cell r="E253">
            <v>181</v>
          </cell>
          <cell r="F253" t="str">
            <v>イタル・タス通信社東京支局長ヴァシリー・ゴロヴニン</v>
          </cell>
          <cell r="G253" t="str">
            <v>東京都渋谷区本町１－５－１</v>
          </cell>
          <cell r="H253" t="str">
            <v>「イタル・タス通信」購読</v>
          </cell>
          <cell r="I253" t="str">
            <v>外務省大臣官房会計課長　上月豊久　東京都千代田区霞が関２－２－１</v>
          </cell>
          <cell r="J253">
            <v>38443</v>
          </cell>
          <cell r="K253">
            <v>2520000</v>
          </cell>
          <cell r="L253" t="str">
            <v>本件情報サービスの運営、情報提供を行っている会社との契約であり、他に競争を許さない（会計法第２９条の３第４項）。</v>
          </cell>
          <cell r="M253" t="str">
            <v>その他のもの</v>
          </cell>
          <cell r="N253" t="str">
            <v>随意契約によらざるを得ないもの</v>
          </cell>
          <cell r="P253" t="str">
            <v>民×</v>
          </cell>
          <cell r="Q253" t="str">
            <v>民</v>
          </cell>
          <cell r="S253" t="str">
            <v>民1</v>
          </cell>
          <cell r="U253" t="str">
            <v>民</v>
          </cell>
          <cell r="V253" t="str">
            <v>●</v>
          </cell>
          <cell r="AA253">
            <v>1700602</v>
          </cell>
          <cell r="AB253">
            <v>1</v>
          </cell>
          <cell r="AD253" t="str">
            <v>無指定</v>
          </cell>
          <cell r="AE253" t="str">
            <v>情報４</v>
          </cell>
          <cell r="AF253" t="str">
            <v>会計課調達室／サービス調達第１班</v>
          </cell>
          <cell r="AG253" t="str">
            <v>竹澤</v>
          </cell>
          <cell r="AI253" t="str">
            <v>行政目的を達成するために不可欠な情報の提供</v>
          </cell>
          <cell r="AJ253" t="str">
            <v>ニ（ヘ）</v>
          </cell>
        </row>
        <row r="254">
          <cell r="A254" t="str">
            <v>民182</v>
          </cell>
          <cell r="B254">
            <v>488</v>
          </cell>
          <cell r="C254" t="str">
            <v>ｲﾀﾙﾀｽ</v>
          </cell>
          <cell r="E254">
            <v>182</v>
          </cell>
          <cell r="F254" t="str">
            <v>イタル・タス通信社東京支局長ヴァシリー・ゴロヴニン</v>
          </cell>
          <cell r="G254" t="str">
            <v>東京都渋谷区本町１－５－１</v>
          </cell>
          <cell r="H254" t="str">
            <v>「イズべスチア情報サービス」購読</v>
          </cell>
          <cell r="I254" t="str">
            <v>外務省大臣官房会計課長　上月豊久　東京都千代田区霞が関２－２－１</v>
          </cell>
          <cell r="J254">
            <v>38443</v>
          </cell>
          <cell r="K254">
            <v>1080000</v>
          </cell>
          <cell r="L254" t="str">
            <v>本件情報サービスの運営、情報提供を行っている会社との契約であり、他に競争を許さない（会計法第２９条の３第４項）。</v>
          </cell>
          <cell r="M254" t="str">
            <v>その他のもの</v>
          </cell>
          <cell r="N254" t="str">
            <v>随意契約によらざるを得ないもの</v>
          </cell>
          <cell r="P254" t="str">
            <v>民×</v>
          </cell>
          <cell r="Q254" t="str">
            <v>民</v>
          </cell>
          <cell r="S254" t="str">
            <v>民1</v>
          </cell>
          <cell r="U254" t="str">
            <v>民</v>
          </cell>
          <cell r="V254" t="str">
            <v>●</v>
          </cell>
          <cell r="AA254">
            <v>1700606</v>
          </cell>
          <cell r="AB254">
            <v>1</v>
          </cell>
          <cell r="AC254" t="str">
            <v>17W304</v>
          </cell>
          <cell r="AD254" t="str">
            <v>無指定</v>
          </cell>
          <cell r="AE254" t="str">
            <v>情報４</v>
          </cell>
          <cell r="AF254" t="str">
            <v>会計課調達室／サービス調達第１班</v>
          </cell>
          <cell r="AG254" t="str">
            <v>竹澤</v>
          </cell>
          <cell r="AI254" t="str">
            <v>行政目的を達成するために不可欠な情報の提供</v>
          </cell>
          <cell r="AJ254" t="str">
            <v>ニ（ヘ）</v>
          </cell>
        </row>
        <row r="255">
          <cell r="A255" t="str">
            <v>民183</v>
          </cell>
          <cell r="B255">
            <v>489</v>
          </cell>
          <cell r="C255" t="str">
            <v>ﾋﾀﾁｷｬﾋﾟ</v>
          </cell>
          <cell r="E255">
            <v>183</v>
          </cell>
          <cell r="F255" t="str">
            <v>日立キャピタル株式会社</v>
          </cell>
          <cell r="G255" t="str">
            <v>東京都港区西新橋２－１５－１２</v>
          </cell>
          <cell r="H255" t="str">
            <v>「公信管理システム」関連機器一式の賃貸借契約</v>
          </cell>
          <cell r="I255" t="str">
            <v>外務省大臣官房会計課長　上月豊久　東京都千代田区霞が関２－２－１</v>
          </cell>
          <cell r="J255">
            <v>38443</v>
          </cell>
          <cell r="K255">
            <v>2554524</v>
          </cell>
          <cell r="L255" t="str">
            <v>複数年のリース契約終了後、新システム導入までの間引き続きリース契約をおこなったもの。当該契約者以外に履行させることは価格面においても不利になる事から他に競争を許さない（会計法第２９条の３第４項）。</v>
          </cell>
          <cell r="M255" t="str">
            <v>見直しの余地があるもの</v>
          </cell>
          <cell r="N255" t="str">
            <v>競争入札へ移行（平成２０年度以降のシステムの再構築時に実施予定）</v>
          </cell>
          <cell r="P255" t="str">
            <v>民×</v>
          </cell>
          <cell r="Q255" t="str">
            <v>民</v>
          </cell>
          <cell r="S255" t="str">
            <v>民20①</v>
          </cell>
          <cell r="U255" t="str">
            <v>民</v>
          </cell>
          <cell r="Y255" t="str">
            <v>①</v>
          </cell>
          <cell r="AA255">
            <v>1700350</v>
          </cell>
          <cell r="AB255">
            <v>1</v>
          </cell>
          <cell r="AC255" t="str">
            <v>17M048</v>
          </cell>
          <cell r="AD255" t="str">
            <v>無指定</v>
          </cell>
          <cell r="AE255" t="str">
            <v>信</v>
          </cell>
          <cell r="AF255" t="str">
            <v>会計課調達室／サービス調達第３班</v>
          </cell>
          <cell r="AG255" t="str">
            <v>川上</v>
          </cell>
        </row>
        <row r="256">
          <cell r="A256" t="str">
            <v>民184</v>
          </cell>
          <cell r="B256">
            <v>490</v>
          </cell>
          <cell r="C256" t="str">
            <v>ｹｰﾌﾞﾙｱﾝﾄﾞﾜｲﾔﾚｽ</v>
          </cell>
          <cell r="E256">
            <v>184</v>
          </cell>
          <cell r="F256" t="str">
            <v>ケーブル・アンド・ワイヤレスＩＤＣ株式会社</v>
          </cell>
          <cell r="G256" t="str">
            <v>東京都港区台場２－３－１</v>
          </cell>
          <cell r="H256" t="str">
            <v>「高度データ通信システム」用高速デジタル専用回線使用契約（更新）</v>
          </cell>
          <cell r="I256" t="str">
            <v>外務省大臣官房会計課長　上月豊久　東京都千代田区霞が関２－２－１</v>
          </cell>
          <cell r="J256">
            <v>38443</v>
          </cell>
          <cell r="K256">
            <v>12015600</v>
          </cell>
          <cell r="L256"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256" t="str">
            <v>見直しの余地があるもの</v>
          </cell>
          <cell r="N256" t="str">
            <v>１８年度中に契約終了し、以後当該事務・事業の委託等を実施しない</v>
          </cell>
          <cell r="P256" t="str">
            <v>民×</v>
          </cell>
          <cell r="Q256" t="str">
            <v>民</v>
          </cell>
          <cell r="S256" t="str">
            <v>民18×</v>
          </cell>
          <cell r="U256" t="str">
            <v>民</v>
          </cell>
          <cell r="W256" t="str">
            <v>×</v>
          </cell>
          <cell r="AA256">
            <v>1700493</v>
          </cell>
          <cell r="AB256">
            <v>1</v>
          </cell>
          <cell r="AC256" t="str">
            <v>17M017</v>
          </cell>
          <cell r="AD256" t="str">
            <v>無指定</v>
          </cell>
          <cell r="AE256" t="str">
            <v>信</v>
          </cell>
          <cell r="AF256" t="str">
            <v>会計課調達室／サービス調達第３班</v>
          </cell>
          <cell r="AG256" t="str">
            <v>西村</v>
          </cell>
        </row>
        <row r="257">
          <cell r="A257" t="str">
            <v>民185</v>
          </cell>
          <cell r="B257">
            <v>491</v>
          </cell>
          <cell r="C257" t="str">
            <v>ﾌｼﾞﾂｰｾﾝﾁｭﾘｰ</v>
          </cell>
          <cell r="E257">
            <v>185</v>
          </cell>
          <cell r="F257" t="str">
            <v>富士通株式会社／センチュリー・リーシング・システム株式会社</v>
          </cell>
          <cell r="G257" t="str">
            <v>東京都港区東新橋１－５－２／
東京都港区浜松町２－４－１</v>
          </cell>
          <cell r="H257" t="str">
            <v>「公信事務自動処理システム」（在外公館設置機器）の賃貸借</v>
          </cell>
          <cell r="I257" t="str">
            <v>外務省大臣官房会計課長　上月豊久　東京都千代田区霞が関２－２－１</v>
          </cell>
          <cell r="J257">
            <v>38443</v>
          </cell>
          <cell r="K257">
            <v>7509438</v>
          </cell>
          <cell r="L257" t="str">
            <v>公信事務自動処理システムは旧式のＯＳで動作するところ、現在右ＯＳ搭載の機器を新たに求める事は困難である。複数年のリース契約が終了する１７年４月以降についても新システム導入までの間は引き続きリース契約を行う必要がある（会計法第２９条の３第４項）。</v>
          </cell>
          <cell r="M257" t="str">
            <v>見直しの余地があるもの</v>
          </cell>
          <cell r="N257" t="str">
            <v>１７年度中に契約終了し、以後当該事務・事業の委託等を実施しない</v>
          </cell>
          <cell r="P257" t="str">
            <v>民×</v>
          </cell>
          <cell r="Q257" t="str">
            <v>民</v>
          </cell>
          <cell r="S257" t="str">
            <v>民18×</v>
          </cell>
          <cell r="U257" t="str">
            <v>民</v>
          </cell>
          <cell r="W257" t="str">
            <v>×</v>
          </cell>
          <cell r="AA257">
            <v>1700400</v>
          </cell>
          <cell r="AB257">
            <v>1</v>
          </cell>
          <cell r="AC257" t="str">
            <v>17Z026</v>
          </cell>
          <cell r="AD257" t="str">
            <v>無指定</v>
          </cell>
          <cell r="AE257" t="str">
            <v>信</v>
          </cell>
          <cell r="AF257" t="str">
            <v>会計課調達室／サービス調達第３班</v>
          </cell>
          <cell r="AG257" t="str">
            <v>西村</v>
          </cell>
        </row>
        <row r="258">
          <cell r="A258" t="str">
            <v>民186</v>
          </cell>
          <cell r="B258">
            <v>492</v>
          </cell>
          <cell r="C258" t="str">
            <v>ﾌｼﾞﾂｰｾﾝﾁｭﾘｰ</v>
          </cell>
          <cell r="E258">
            <v>186</v>
          </cell>
          <cell r="F258" t="str">
            <v>富士通株式会社／センチュリー・リーシング・システム株式会社</v>
          </cell>
          <cell r="G258" t="str">
            <v>東京都港区東新橋１－５－２／
東京都港区浜松町２－４－１</v>
          </cell>
          <cell r="H258" t="str">
            <v>「在外公館用通信機器」一式　機器賃貸借</v>
          </cell>
          <cell r="I258" t="str">
            <v xml:space="preserve">
外務省大臣官房会計課長　上月豊久
東京都千代田区霞が関２－２－１</v>
          </cell>
          <cell r="J258">
            <v>38443</v>
          </cell>
          <cell r="K258">
            <v>240717216</v>
          </cell>
          <cell r="L258" t="str">
            <v>平成１５年度に一般競争入札（期間４８ヶ月。但し契約自体は単年度）で契約した在外公館用通信機器一式賃貸借の継続契約（会計法第２９条の３第４項、特定政令に該当）。</v>
          </cell>
          <cell r="M258" t="str">
            <v>見直しの余地があるもの</v>
          </cell>
          <cell r="N258" t="str">
            <v>競争入札へ移行（２０年度中に実施予定）</v>
          </cell>
          <cell r="P258" t="str">
            <v>民×</v>
          </cell>
          <cell r="Q258" t="str">
            <v>民</v>
          </cell>
          <cell r="S258" t="str">
            <v>民20①</v>
          </cell>
          <cell r="U258" t="str">
            <v>民</v>
          </cell>
          <cell r="Y258" t="str">
            <v>①</v>
          </cell>
          <cell r="AA258">
            <v>1700635</v>
          </cell>
          <cell r="AB258">
            <v>1</v>
          </cell>
          <cell r="AD258" t="str">
            <v>無指定</v>
          </cell>
          <cell r="AE258" t="str">
            <v>報報</v>
          </cell>
          <cell r="AF258" t="str">
            <v>会計課調達室／サービス調達第１班</v>
          </cell>
          <cell r="AG258" t="str">
            <v>村松</v>
          </cell>
          <cell r="AI258" t="str">
            <v>一般競争入札：平成21年3月1日
（H21.01.26回答）
当初の契約において、複数年度にわたる契約期間を条件としており、他に競争を許さないため。
契約期間満了後、競争性のある契約方式に移行する予定。</v>
          </cell>
          <cell r="AJ258" t="str">
            <v>平成２０年度末
(H21.01.26回答）
移行済み</v>
          </cell>
        </row>
        <row r="259">
          <cell r="A259" t="str">
            <v>民187</v>
          </cell>
          <cell r="B259">
            <v>493</v>
          </cell>
          <cell r="C259" t="str">
            <v>ﾌｼﾞﾂｰｾﾝﾁｭﾘｰ</v>
          </cell>
          <cell r="E259">
            <v>187</v>
          </cell>
          <cell r="F259" t="str">
            <v>富士通株式会社／センチュリー・リーシング・システム株式会社</v>
          </cell>
          <cell r="G259" t="str">
            <v>東京都港区東新橋１－５－２／
東京都港区浜松町２－４－１</v>
          </cell>
          <cell r="H259" t="str">
            <v>「通信用サーバ機器」一式の賃貸借・保守</v>
          </cell>
          <cell r="I259" t="str">
            <v xml:space="preserve">
外務省大臣官房会計課長　上月豊久
東京都千代田区霞が関２－２－１</v>
          </cell>
          <cell r="J259">
            <v>38443</v>
          </cell>
          <cell r="K259">
            <v>441000000</v>
          </cell>
          <cell r="L259" t="str">
            <v>平成１５年度に一般競争入札（賃貸期間４８ヶ月。但し契約自体は単年度）で導入した通信用サーバ一式の継続契約（会計法第２９条の３第４項、特例政令に該当）。</v>
          </cell>
          <cell r="M259" t="str">
            <v>見直しの余地があるもの</v>
          </cell>
          <cell r="N259" t="str">
            <v>競争入札へ移行（１９年度末に入札実施の上、国庫債務負担行為を適用し、複数年度契約を締結予定）</v>
          </cell>
          <cell r="O259" t="str">
            <v>H19～：国庫債務負担公有為</v>
          </cell>
          <cell r="P259" t="str">
            <v>民×</v>
          </cell>
          <cell r="Q259" t="str">
            <v>民</v>
          </cell>
          <cell r="S259" t="str">
            <v>民19①</v>
          </cell>
          <cell r="U259" t="str">
            <v>民</v>
          </cell>
          <cell r="X259" t="str">
            <v>①</v>
          </cell>
          <cell r="AA259">
            <v>1700391</v>
          </cell>
          <cell r="AB259">
            <v>1</v>
          </cell>
          <cell r="AC259" t="str">
            <v>17M041</v>
          </cell>
          <cell r="AD259" t="str">
            <v>無指定</v>
          </cell>
          <cell r="AE259" t="str">
            <v>信</v>
          </cell>
          <cell r="AF259" t="str">
            <v>会計課調達室／サービス調達第３班</v>
          </cell>
          <cell r="AG259" t="str">
            <v>西村</v>
          </cell>
        </row>
        <row r="260">
          <cell r="A260" t="str">
            <v>民188</v>
          </cell>
          <cell r="B260">
            <v>494</v>
          </cell>
          <cell r="C260" t="str">
            <v>ﾆﾎﾝﾃﾞﾝｼｹｲｻﾝ</v>
          </cell>
          <cell r="E260">
            <v>188</v>
          </cell>
          <cell r="F260" t="str">
            <v>日本電子計算機株式会社</v>
          </cell>
          <cell r="G260" t="str">
            <v>東京都千代田区丸の内３－４－１</v>
          </cell>
          <cell r="H260" t="str">
            <v>「通信用サーバ機器（汎用電子計算機）」の賃借・保守</v>
          </cell>
          <cell r="I260" t="str">
            <v xml:space="preserve">
外務省大臣官房会計課長　上月豊久
東京都千代田区霞が関２－２－１</v>
          </cell>
          <cell r="J260">
            <v>38443</v>
          </cell>
          <cell r="K260">
            <v>208404000</v>
          </cell>
          <cell r="L260" t="str">
            <v>平成１５年度に一般競争入札（賃貸期間４８ヶ月。但し契約自体は単年度）で導入した通信用サーバ機器の継続契約（会計法第２９条の３第４項、特例政令に該当）。</v>
          </cell>
          <cell r="M260" t="str">
            <v>見直しの余地があるもの</v>
          </cell>
          <cell r="N260" t="str">
            <v>競争入札へ移行（１９年度末に入札実施の上、国庫債務負担行為を適用し、複数年度契約を締結予定）</v>
          </cell>
          <cell r="O260" t="str">
            <v>H19～：国庫債務負担公有為</v>
          </cell>
          <cell r="P260" t="str">
            <v>民×</v>
          </cell>
          <cell r="Q260" t="str">
            <v>民</v>
          </cell>
          <cell r="S260" t="str">
            <v>民19①</v>
          </cell>
          <cell r="U260" t="str">
            <v>民</v>
          </cell>
          <cell r="X260" t="str">
            <v>①</v>
          </cell>
          <cell r="AA260">
            <v>1700184</v>
          </cell>
          <cell r="AB260">
            <v>1</v>
          </cell>
          <cell r="AC260" t="str">
            <v>17M040</v>
          </cell>
          <cell r="AD260" t="str">
            <v>無指定</v>
          </cell>
          <cell r="AE260" t="str">
            <v>信</v>
          </cell>
          <cell r="AF260" t="str">
            <v>会計課調達室／サービス調達第３班</v>
          </cell>
          <cell r="AG260" t="str">
            <v>川上</v>
          </cell>
        </row>
        <row r="261">
          <cell r="A261" t="str">
            <v>民189</v>
          </cell>
          <cell r="B261">
            <v>495</v>
          </cell>
          <cell r="C261" t="str">
            <v>ｹｰﾃﾞｨﾃﾞｨｶﾌﾞ</v>
          </cell>
          <cell r="E261">
            <v>189</v>
          </cell>
          <cell r="F261" t="str">
            <v>ＫＤＤＩ株式会社</v>
          </cell>
          <cell r="G261" t="str">
            <v>東京都千代田区飯田橋３－１０－１０</v>
          </cell>
          <cell r="H261" t="str">
            <v>デジタル通信ネットワークに関わる回線の賃貸借</v>
          </cell>
          <cell r="I261" t="str">
            <v xml:space="preserve">
外務省大臣官房会計課長　上月豊久
東京都千代田区霞が関２－２－１</v>
          </cell>
          <cell r="J261">
            <v>38443</v>
          </cell>
          <cell r="K261">
            <v>311306861</v>
          </cell>
          <cell r="L261" t="str">
            <v>平成１３年度に一般競争入札で契約した本件業務の追加分に係る契約（会計法第２９条の３第４項、特例政令に該当）。</v>
          </cell>
          <cell r="M261" t="str">
            <v>見直しの余地があるもの</v>
          </cell>
          <cell r="N261" t="str">
            <v>１９年度以降において当該事務・事業の委託等を行う予定のないもの</v>
          </cell>
          <cell r="P261" t="str">
            <v>民×</v>
          </cell>
          <cell r="Q261" t="str">
            <v>民</v>
          </cell>
          <cell r="S261" t="str">
            <v>民19×</v>
          </cell>
          <cell r="U261" t="str">
            <v>民</v>
          </cell>
          <cell r="X261" t="str">
            <v>×</v>
          </cell>
          <cell r="AA261">
            <v>1700441</v>
          </cell>
          <cell r="AB261">
            <v>1</v>
          </cell>
          <cell r="AC261" t="str">
            <v>17M021</v>
          </cell>
          <cell r="AD261" t="str">
            <v>無指定</v>
          </cell>
          <cell r="AE261" t="str">
            <v>信</v>
          </cell>
          <cell r="AF261" t="str">
            <v>会計課調達室／サービス調達第３班</v>
          </cell>
          <cell r="AG261" t="str">
            <v>西村</v>
          </cell>
        </row>
        <row r="262">
          <cell r="A262" t="str">
            <v>民190</v>
          </cell>
          <cell r="B262">
            <v>496</v>
          </cell>
          <cell r="C262" t="str">
            <v>ﾋﾀﾁｷｬﾋﾟ</v>
          </cell>
          <cell r="E262">
            <v>190</v>
          </cell>
          <cell r="F262" t="str">
            <v>日立キャピタル株式会社</v>
          </cell>
          <cell r="G262" t="str">
            <v>東京都千代田区飯田橋２－１８－２</v>
          </cell>
          <cell r="H262" t="str">
            <v>「人事計画用情報管理機器」借料</v>
          </cell>
          <cell r="I262" t="str">
            <v>外務省大臣官房会計課長　上月豊久　東京都千代田区霞が関２－２－１</v>
          </cell>
          <cell r="J262">
            <v>38443</v>
          </cell>
          <cell r="K262">
            <v>7779240</v>
          </cell>
          <cell r="L262"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262" t="str">
            <v>見直しの余地があるもの</v>
          </cell>
          <cell r="N262" t="str">
            <v>競争入札もしくは企画招請に移行(平成２１年を目処)</v>
          </cell>
          <cell r="P262" t="str">
            <v>民×</v>
          </cell>
          <cell r="Q262" t="str">
            <v>民</v>
          </cell>
          <cell r="S262" t="str">
            <v>民21②</v>
          </cell>
          <cell r="U262" t="str">
            <v>民</v>
          </cell>
          <cell r="Z262" t="str">
            <v>②</v>
          </cell>
          <cell r="AA262">
            <v>1700348</v>
          </cell>
          <cell r="AB262">
            <v>1</v>
          </cell>
          <cell r="AC262" t="str">
            <v>17W185</v>
          </cell>
          <cell r="AD262" t="str">
            <v>無指定</v>
          </cell>
          <cell r="AE262" t="str">
            <v>人</v>
          </cell>
          <cell r="AF262" t="str">
            <v>会計課調達室／サービス調達第３班</v>
          </cell>
          <cell r="AG262" t="str">
            <v>西村</v>
          </cell>
          <cell r="AI262" t="str">
            <v>当該機器は複数年のリース契約終了後も一定期間は業務上の使用に耐えられるところ、経費節約の観点から新システムへの移行までの間、新規調達に比べ割安であるリース契約の再延長をおこなっており、他に競争を許さないため移行が困難。</v>
          </cell>
          <cell r="AJ262" t="str">
            <v>平成21年度中に新システムへの移行を検討し、平成22年度に一般競争入札または企画競争を実施する予定。</v>
          </cell>
        </row>
        <row r="263">
          <cell r="A263" t="str">
            <v>民191</v>
          </cell>
          <cell r="B263">
            <v>497</v>
          </cell>
          <cell r="C263" t="str">
            <v>ｶﾌﾞｻｲ</v>
          </cell>
          <cell r="E263">
            <v>191</v>
          </cell>
          <cell r="F263" t="str">
            <v>株式会社サイマル・インターナショナル</v>
          </cell>
          <cell r="G263" t="str">
            <v>東京都港区虎ノ門１－２５－５</v>
          </cell>
          <cell r="H263" t="str">
            <v>通訳研修（仏、独、西、露、中）（４～５月分）</v>
          </cell>
          <cell r="I263" t="str">
            <v>外務省大臣官房会計課長　上月豊久　東京都千代田区霞が関２－２－１</v>
          </cell>
          <cell r="J263">
            <v>38443</v>
          </cell>
          <cell r="K263">
            <v>1839600</v>
          </cell>
          <cell r="L263" t="str">
            <v>当省が必要とするレベルの通訳養成に十分な実績を有し、また、本件研修は数年に亘って実施する必要があることから同社との継続契約が不可欠である（会計法第２９条の３第４項）。</v>
          </cell>
          <cell r="M263" t="str">
            <v>見直しの余地があるもの</v>
          </cell>
          <cell r="N263" t="str">
            <v>企画招請または競争入札への移行を検討(平成１９年４月分より)</v>
          </cell>
          <cell r="P263" t="str">
            <v>民×</v>
          </cell>
          <cell r="Q263" t="str">
            <v>民</v>
          </cell>
          <cell r="S263" t="str">
            <v>民19②</v>
          </cell>
          <cell r="U263" t="str">
            <v>民</v>
          </cell>
          <cell r="X263" t="str">
            <v>①②</v>
          </cell>
          <cell r="AA263">
            <v>1700372</v>
          </cell>
          <cell r="AB263">
            <v>1</v>
          </cell>
          <cell r="AC263" t="str">
            <v>17G099</v>
          </cell>
          <cell r="AD263" t="str">
            <v>無指定</v>
          </cell>
          <cell r="AE263" t="str">
            <v>人</v>
          </cell>
          <cell r="AF263" t="str">
            <v>会計課調達室／サービス調達第１班</v>
          </cell>
          <cell r="AG263" t="str">
            <v>村松</v>
          </cell>
        </row>
        <row r="264">
          <cell r="A264" t="str">
            <v>民192</v>
          </cell>
          <cell r="B264">
            <v>498</v>
          </cell>
          <cell r="C264" t="str">
            <v>ﾄｳｼﾊﾞﾌｧｲﾅﾝｽ</v>
          </cell>
          <cell r="E264">
            <v>192</v>
          </cell>
          <cell r="F264" t="str">
            <v>東芝ファイナンス株式会社</v>
          </cell>
          <cell r="G264" t="str">
            <v>東京都中央区銀座５－２－１</v>
          </cell>
          <cell r="H264" t="str">
            <v>「人事記録カード自動検索機」借料</v>
          </cell>
          <cell r="I264" t="str">
            <v>外務省大臣官房会計課長　上月豊久　東京都千代田区霞が関２－２－１</v>
          </cell>
          <cell r="J264">
            <v>38443</v>
          </cell>
          <cell r="K264">
            <v>3056760</v>
          </cell>
          <cell r="L264" t="str">
            <v>複数年のリース契約終了後、新システム導入までの間引き続きリース契約をおこなったもの。当該契約者以外に履行させることは価格面においても不利になる事から他に競争を許さない（会計法第２９条の３第４項）。</v>
          </cell>
          <cell r="M264" t="str">
            <v>見直しの余地があるもの</v>
          </cell>
          <cell r="N264" t="str">
            <v>１９年度以降において当該事務・事業の委託等を行う予定のないもの</v>
          </cell>
          <cell r="P264" t="str">
            <v>民×</v>
          </cell>
          <cell r="Q264" t="str">
            <v>民</v>
          </cell>
          <cell r="S264" t="str">
            <v>民19×</v>
          </cell>
          <cell r="U264" t="str">
            <v>民</v>
          </cell>
          <cell r="X264" t="str">
            <v>×</v>
          </cell>
          <cell r="AA264">
            <v>1700399</v>
          </cell>
          <cell r="AB264">
            <v>1</v>
          </cell>
          <cell r="AC264" t="str">
            <v>17M050</v>
          </cell>
          <cell r="AD264" t="str">
            <v>無指定</v>
          </cell>
          <cell r="AE264" t="str">
            <v>人</v>
          </cell>
          <cell r="AF264" t="str">
            <v>会計課調達室／サービス調達第３班</v>
          </cell>
          <cell r="AG264" t="str">
            <v>西村</v>
          </cell>
        </row>
        <row r="265">
          <cell r="A265" t="str">
            <v>民193</v>
          </cell>
          <cell r="B265">
            <v>499</v>
          </cell>
          <cell r="C265" t="str">
            <v>ｶﾌﾞﾊｻﾞﾝ</v>
          </cell>
          <cell r="E265">
            <v>193</v>
          </cell>
          <cell r="F265" t="str">
            <v>株式会社ハザン商事／
日立キャピタル株式会社</v>
          </cell>
          <cell r="G265" t="str">
            <v>東京都千代田区有楽町１－４－１／
東京都港区西新橋２－１５－１２</v>
          </cell>
          <cell r="H265" t="str">
            <v>「図書管理システム」賃貸借・保守契約</v>
          </cell>
          <cell r="I265" t="str">
            <v xml:space="preserve">
外務省大臣官房会計課長　上月豊久
東京都千代田区霞が関２－２－１</v>
          </cell>
          <cell r="J265">
            <v>38443</v>
          </cell>
          <cell r="K265">
            <v>3533040</v>
          </cell>
          <cell r="L265" t="str">
            <v>システムの開発業者が、自社製品やカスタマイズされた独自の機器、システムを使用しているため、その保守・運用・改修等については同社と契約することが業務効率、価格面から考えて最も有利であり、他に競争を許さない（会計法第２９条の３第４項）。</v>
          </cell>
          <cell r="M265" t="str">
            <v>見直しの余地があるもの</v>
          </cell>
          <cell r="N265" t="str">
            <v>競争入札への移行を検討（平成２０年度実施予定）</v>
          </cell>
          <cell r="P265" t="str">
            <v>民×</v>
          </cell>
          <cell r="Q265" t="str">
            <v>民</v>
          </cell>
          <cell r="S265" t="str">
            <v>民20①</v>
          </cell>
          <cell r="U265" t="str">
            <v>民</v>
          </cell>
          <cell r="Y265" t="str">
            <v>①</v>
          </cell>
          <cell r="AA265">
            <v>1700340</v>
          </cell>
          <cell r="AB265">
            <v>1</v>
          </cell>
          <cell r="AC265" t="str">
            <v>17W102</v>
          </cell>
          <cell r="AD265" t="str">
            <v>無指定</v>
          </cell>
          <cell r="AE265" t="str">
            <v>図</v>
          </cell>
          <cell r="AF265" t="str">
            <v>会計課調達室／サービス調達第３班</v>
          </cell>
          <cell r="AG265" t="str">
            <v>川上</v>
          </cell>
          <cell r="AI265" t="str">
            <v>（H21.1.26調査回答）
●図書館管理業務システム用機器の賃貸借及び保守については、平成２０年１０月に一般競争入札を実施済み。（契約期間：平成20年10月～24年9月/国債）
●図書管理業務ソフトの保守についてはソフトのライセンスを取得しており、図書館システム用機器の入替後も本ソフトを使用するため２０年１１月～３月まで５ヶ月分随意契約（３５万円、少額随契）</v>
          </cell>
          <cell r="AJ265" t="str">
            <v>平成２０年度
１０月</v>
          </cell>
        </row>
        <row r="266">
          <cell r="A266" t="str">
            <v>民194</v>
          </cell>
          <cell r="B266">
            <v>500</v>
          </cell>
          <cell r="C266" t="str">
            <v>ｿﾆｰﾌﾞﾘｰﾄﾞ</v>
          </cell>
          <cell r="E266">
            <v>194</v>
          </cell>
          <cell r="F266" t="str">
            <v>ソニーブロードバンドソリユーション株式会社　</v>
          </cell>
          <cell r="G266" t="str">
            <v>東京都港区高輪４－１０－１８</v>
          </cell>
          <cell r="H266" t="str">
            <v>「危機管理用ビデオシステム」の保守契約</v>
          </cell>
          <cell r="I266" t="str">
            <v xml:space="preserve">
外務省大臣官房会計課長　上月豊久
東京都千代田区霞が関２－２－１</v>
          </cell>
          <cell r="J266">
            <v>38443</v>
          </cell>
          <cell r="K266">
            <v>4943736</v>
          </cell>
          <cell r="L266" t="str">
            <v>システムの開発業者が、自社製品やカスタマイズされた独自の機器、システムを使用しているため、その保守・運用・改修等については同社と契約することが業務効率、価格面から考えて最も有利であり、他に競争を許さない（会計法第２９条の３第４項）。</v>
          </cell>
          <cell r="M266" t="str">
            <v>見直しの余地があるもの</v>
          </cell>
          <cell r="N266" t="str">
            <v>競争入札への移行を検討（機器の入れ替え時(平成２１年３月以降)に実施方検討する）</v>
          </cell>
          <cell r="P266" t="str">
            <v>民×</v>
          </cell>
          <cell r="Q266" t="str">
            <v>民</v>
          </cell>
          <cell r="S266" t="str">
            <v>民21①</v>
          </cell>
          <cell r="U266" t="str">
            <v>民</v>
          </cell>
          <cell r="Z266" t="str">
            <v>①</v>
          </cell>
          <cell r="AA266">
            <v>1700486</v>
          </cell>
          <cell r="AB266">
            <v>1</v>
          </cell>
          <cell r="AC266" t="str">
            <v>17M094</v>
          </cell>
          <cell r="AD266" t="str">
            <v>無指定</v>
          </cell>
          <cell r="AE266" t="str">
            <v>総</v>
          </cell>
          <cell r="AF266" t="str">
            <v>会計課調達室／サービス調達第３班</v>
          </cell>
          <cell r="AG266" t="str">
            <v>川上</v>
          </cell>
          <cell r="AI266" t="str">
            <v>平成21年4月のシステム入替時に、保守料も含め一般競争入札に付す予定。</v>
          </cell>
          <cell r="AJ266" t="str">
            <v>平成21年4月</v>
          </cell>
        </row>
        <row r="267">
          <cell r="A267" t="str">
            <v>民195</v>
          </cell>
          <cell r="B267">
            <v>501</v>
          </cell>
          <cell r="C267" t="str">
            <v>ｶﾌﾞｿﾆ</v>
          </cell>
          <cell r="E267">
            <v>195</v>
          </cell>
          <cell r="F267" t="str">
            <v>株式会社ソニーファイナンスインターナショナル</v>
          </cell>
          <cell r="G267" t="str">
            <v>東京都港区南青山１－１－１</v>
          </cell>
          <cell r="H267" t="str">
            <v>「簡易型ビデオプロジェクションシステム」の賃貸借</v>
          </cell>
          <cell r="I267" t="str">
            <v xml:space="preserve">
外務省大臣官房会計課長　上月豊久
東京都千代田区霞が関２－２－１</v>
          </cell>
          <cell r="J267">
            <v>38443</v>
          </cell>
          <cell r="K267">
            <v>1421280</v>
          </cell>
          <cell r="L267" t="str">
            <v>平成１３年度に一般競争入札（賃貸期間平成１４年３月１日から５年間。但し契約自体は単年度）で導入した本件賃貸借契約の継続契約（会計法第２９条の３第４項）。</v>
          </cell>
          <cell r="M267" t="str">
            <v>見直しの余地があるもの</v>
          </cell>
          <cell r="N267" t="str">
            <v>競争入札へ移行（機器の入れ替え時（平成１９年３月以降）に実施予定）</v>
          </cell>
          <cell r="P267" t="str">
            <v>民×</v>
          </cell>
          <cell r="Q267" t="str">
            <v>民</v>
          </cell>
          <cell r="S267" t="str">
            <v>民20①</v>
          </cell>
          <cell r="U267" t="str">
            <v>民</v>
          </cell>
          <cell r="Y267" t="str">
            <v>①</v>
          </cell>
          <cell r="AA267">
            <v>1700396</v>
          </cell>
          <cell r="AB267">
            <v>1</v>
          </cell>
          <cell r="AC267" t="str">
            <v>17M004</v>
          </cell>
          <cell r="AD267" t="str">
            <v>無指定</v>
          </cell>
          <cell r="AE267" t="str">
            <v>総</v>
          </cell>
          <cell r="AF267" t="str">
            <v>会計課調達室／サービス調達第３班</v>
          </cell>
          <cell r="AG267" t="str">
            <v>西村</v>
          </cell>
        </row>
        <row r="268">
          <cell r="A268" t="str">
            <v>民196</v>
          </cell>
          <cell r="B268">
            <v>502</v>
          </cell>
          <cell r="C268" t="str">
            <v>ｶﾌﾞｼｰｲｰｼｰ</v>
          </cell>
          <cell r="E268">
            <v>196</v>
          </cell>
          <cell r="F268" t="str">
            <v>株式会社シーイーシー</v>
          </cell>
          <cell r="G268" t="str">
            <v>東京都渋谷区恵比寿南１－５－５</v>
          </cell>
          <cell r="H268" t="str">
            <v>「外交記録公開文書閲覧システム」保守・管理業務等委嘱</v>
          </cell>
          <cell r="I268" t="str">
            <v xml:space="preserve">
外務省大臣官房会計課長　上月豊久
東京都千代田区霞が関２－２－１</v>
          </cell>
          <cell r="J268">
            <v>38443</v>
          </cell>
          <cell r="K268">
            <v>8726760</v>
          </cell>
          <cell r="L268" t="str">
            <v>平成１６年度において一般競争入札により調達したシステムの賃貸借契約を、国庫債務負担行為手続きにより複数年の賃貸借契約に改めたシステムの保守であり、他に競争を許さない（契約単価は競争入札により決定された金額を適用し、契約自体は単年度）(会計法第２９条の３第４項)。</v>
          </cell>
          <cell r="M268" t="str">
            <v>見直しの余地があるもの</v>
          </cell>
          <cell r="N268" t="str">
            <v>競争入札へ移行（機器の入れ替え時（平成２０年６月以降）に実施予定）</v>
          </cell>
          <cell r="P268" t="str">
            <v>民×</v>
          </cell>
          <cell r="Q268" t="str">
            <v>民</v>
          </cell>
          <cell r="S268" t="str">
            <v>民20①</v>
          </cell>
          <cell r="U268" t="str">
            <v>民</v>
          </cell>
          <cell r="Y268" t="str">
            <v>①</v>
          </cell>
          <cell r="AA268">
            <v>1700387</v>
          </cell>
          <cell r="AB268">
            <v>1</v>
          </cell>
          <cell r="AC268" t="str">
            <v>17W039</v>
          </cell>
          <cell r="AD268" t="str">
            <v>無指定</v>
          </cell>
          <cell r="AE268" t="str">
            <v>総</v>
          </cell>
          <cell r="AF268" t="str">
            <v>会計課調達室／サービス調達第３班</v>
          </cell>
          <cell r="AG268" t="str">
            <v>西村</v>
          </cell>
          <cell r="AI268" t="str">
            <v>省内ＨＰサーバに統合されたため、平成２０年５月をもって契約終了済。</v>
          </cell>
        </row>
        <row r="269">
          <cell r="A269" t="str">
            <v>民197</v>
          </cell>
          <cell r="B269">
            <v>503</v>
          </cell>
          <cell r="C269" t="str">
            <v>ｼｰﾒﾝｽ</v>
          </cell>
          <cell r="E269">
            <v>197</v>
          </cell>
          <cell r="F269" t="str">
            <v>シーメンス株式会社</v>
          </cell>
          <cell r="G269" t="str">
            <v>東京都葛飾区奥戸３－１６－１７</v>
          </cell>
          <cell r="H269" t="str">
            <v>エアーシューターの保守契約</v>
          </cell>
          <cell r="I269" t="str">
            <v xml:space="preserve">
外務省大臣官房会計課長　上月豊久
東京都千代田区霞が関２－２－１</v>
          </cell>
          <cell r="J269">
            <v>38443</v>
          </cell>
          <cell r="K269">
            <v>9802800</v>
          </cell>
          <cell r="L269" t="str">
            <v>特殊機器の保守であり、保守点検にあたっては特殊技術・知識を必要とすることから他に競争を許さない（会計法第２９条の３第４項）。</v>
          </cell>
          <cell r="M269" t="str">
            <v>見直しの余地があるもの</v>
          </cell>
          <cell r="N269" t="str">
            <v>競争入札または公募への移行を検討(平成１９年度中に実施予定)</v>
          </cell>
          <cell r="P269" t="str">
            <v>民×</v>
          </cell>
          <cell r="Q269" t="str">
            <v>民</v>
          </cell>
          <cell r="S269" t="str">
            <v>民19②</v>
          </cell>
          <cell r="U269" t="str">
            <v>民</v>
          </cell>
          <cell r="X269" t="str">
            <v>①②</v>
          </cell>
          <cell r="AA269">
            <v>1700681</v>
          </cell>
          <cell r="AB269">
            <v>1</v>
          </cell>
          <cell r="AD269" t="str">
            <v>無指定</v>
          </cell>
          <cell r="AE269" t="str">
            <v>総</v>
          </cell>
          <cell r="AF269" t="str">
            <v>会計課調達室／政府調達班</v>
          </cell>
          <cell r="AG269" t="str">
            <v>馬場</v>
          </cell>
        </row>
        <row r="270">
          <cell r="A270" t="str">
            <v>民198</v>
          </cell>
          <cell r="B270">
            <v>504</v>
          </cell>
          <cell r="C270" t="str">
            <v>ﾋﾀﾁｷｬﾋﾟ</v>
          </cell>
          <cell r="E270">
            <v>198</v>
          </cell>
          <cell r="F270" t="str">
            <v>日立キャピタル株式会社</v>
          </cell>
          <cell r="G270" t="str">
            <v>東京都港区西新橋２－１５－１２</v>
          </cell>
          <cell r="H270" t="str">
            <v>「文書作成システム」一式の保守契約</v>
          </cell>
          <cell r="I270" t="str">
            <v xml:space="preserve">
外務省大臣官房会計課長　上月豊久
東京都千代田区霞が関２－２－１</v>
          </cell>
          <cell r="J270">
            <v>38443</v>
          </cell>
          <cell r="K270">
            <v>1534296</v>
          </cell>
          <cell r="L270" t="str">
            <v>特殊機器の保守であり、保守点検にあたっては特殊技術・知識を必要とすることから他に競争を許さない（平成１４年度において一般競争入札により調達したシステムの賃貸借契約を、国庫債務負担行為手続きにより複数年の賃貸借契約に改めたシステムの保守）（会計法第２９条の３第４項）。</v>
          </cell>
          <cell r="M270" t="str">
            <v>見直しの余地があるもの</v>
          </cell>
          <cell r="N270" t="str">
            <v>競争入札への移行を検討（機器の入れ替え時（平成１９年３月１日以降）に実施方検討する）</v>
          </cell>
          <cell r="P270" t="str">
            <v>民×</v>
          </cell>
          <cell r="Q270" t="str">
            <v>民</v>
          </cell>
          <cell r="S270" t="str">
            <v>民19①</v>
          </cell>
          <cell r="U270" t="str">
            <v>民</v>
          </cell>
          <cell r="X270" t="str">
            <v>①</v>
          </cell>
          <cell r="AA270">
            <v>1700244</v>
          </cell>
          <cell r="AB270">
            <v>1</v>
          </cell>
          <cell r="AC270" t="str">
            <v>17W359</v>
          </cell>
          <cell r="AD270" t="str">
            <v>無指定</v>
          </cell>
          <cell r="AE270" t="str">
            <v>総</v>
          </cell>
          <cell r="AF270" t="str">
            <v>会計課調達室／物品調達班</v>
          </cell>
          <cell r="AG270" t="str">
            <v>仲野</v>
          </cell>
        </row>
        <row r="271">
          <cell r="A271" t="str">
            <v>民199</v>
          </cell>
          <cell r="B271">
            <v>505</v>
          </cell>
          <cell r="C271" t="str">
            <v>ﾋﾀﾁｲﾝﾌｫ</v>
          </cell>
          <cell r="E271">
            <v>199</v>
          </cell>
          <cell r="F271" t="str">
            <v>日立インフォネット株式会社</v>
          </cell>
          <cell r="G271" t="str">
            <v>東京都千代田区三崎町２－２０－７</v>
          </cell>
          <cell r="H271" t="str">
            <v>緊急事態用幹部ＦＡＸ機（４９台）の賃貸借</v>
          </cell>
          <cell r="I271" t="str">
            <v xml:space="preserve">
外務省大臣官房会計課長　上月豊久
東京都千代田区霞が関２－２－１</v>
          </cell>
          <cell r="J271">
            <v>38443</v>
          </cell>
          <cell r="K271">
            <v>1889444</v>
          </cell>
          <cell r="L271" t="str">
            <v>平成１５年度に一般競争入札（賃貸期間平成１５年１０月１日から４年間。但し契約自体は単年度）で導入した本件賃貸借契約の継続契約（会計法第２９条の３第４項）。</v>
          </cell>
          <cell r="M271" t="str">
            <v>見直しの余地があるもの</v>
          </cell>
          <cell r="N271" t="str">
            <v>競争入札へ移行（１９年度中に実施予定）</v>
          </cell>
          <cell r="P271" t="str">
            <v>民×</v>
          </cell>
          <cell r="Q271" t="str">
            <v>民</v>
          </cell>
          <cell r="S271" t="str">
            <v>民19①</v>
          </cell>
          <cell r="U271" t="str">
            <v>民</v>
          </cell>
          <cell r="X271" t="str">
            <v>①</v>
          </cell>
          <cell r="AA271">
            <v>1700062</v>
          </cell>
          <cell r="AB271">
            <v>1</v>
          </cell>
          <cell r="AC271" t="str">
            <v>17W022</v>
          </cell>
          <cell r="AD271" t="str">
            <v>無指定</v>
          </cell>
          <cell r="AE271" t="str">
            <v>総</v>
          </cell>
          <cell r="AF271" t="str">
            <v>会計課調達室／物品調達班</v>
          </cell>
          <cell r="AG271" t="str">
            <v>仲野</v>
          </cell>
        </row>
        <row r="272">
          <cell r="A272" t="str">
            <v>民200</v>
          </cell>
          <cell r="B272">
            <v>506</v>
          </cell>
          <cell r="C272" t="str">
            <v>ｿﾆｰﾌﾞﾘｰﾄﾞ</v>
          </cell>
          <cell r="E272">
            <v>200</v>
          </cell>
          <cell r="F272" t="str">
            <v>ソニーブロードバンドソリューション株式会社／
ソニーファイナンスインターナショナル株式会社</v>
          </cell>
          <cell r="G272" t="str">
            <v>東京都港区高輪４－１０－１８／
東京都港区南青山１－１－１</v>
          </cell>
          <cell r="H272" t="str">
            <v>危機管理用ビデオシステム賃貸借契約</v>
          </cell>
          <cell r="I272" t="str">
            <v xml:space="preserve">
外務省大臣官房会計課長　上月豊久
東京都千代田区霞が関２－２－１</v>
          </cell>
          <cell r="J272">
            <v>38443</v>
          </cell>
          <cell r="K272">
            <v>8794800</v>
          </cell>
          <cell r="L272" t="str">
            <v>平成１５年度に一般競争入札（賃貸期間平成２１年２月２８日まで。但し契約自体は単年度）で導入した機器管理用ビデオシステム賃貸借の継続契約（会計法第２９条の３第４項、特例政令に該当）。</v>
          </cell>
          <cell r="M272" t="str">
            <v>見直しの余地があるもの</v>
          </cell>
          <cell r="N272" t="str">
            <v>競争入札へ移行を検討（機器の入れ替え時（平成２１年３月１日以降）に実施方検討する）</v>
          </cell>
          <cell r="P272" t="str">
            <v>民×</v>
          </cell>
          <cell r="Q272" t="str">
            <v>民</v>
          </cell>
          <cell r="S272" t="str">
            <v>民21①</v>
          </cell>
          <cell r="U272" t="str">
            <v>民</v>
          </cell>
          <cell r="Z272" t="str">
            <v>①</v>
          </cell>
          <cell r="AA272">
            <v>1700342</v>
          </cell>
          <cell r="AB272">
            <v>1</v>
          </cell>
          <cell r="AC272" t="str">
            <v>17M054</v>
          </cell>
          <cell r="AD272" t="str">
            <v>無指定</v>
          </cell>
          <cell r="AE272" t="str">
            <v>総</v>
          </cell>
          <cell r="AF272" t="str">
            <v>会計課調達室／サービス調達第３班</v>
          </cell>
          <cell r="AG272" t="str">
            <v>西村</v>
          </cell>
          <cell r="AI272" t="str">
            <v>平成21年4月のシステム入替時に、保守料も含め一般競争入札に付す予定。</v>
          </cell>
          <cell r="AJ272" t="str">
            <v>平成21年4月</v>
          </cell>
        </row>
        <row r="273">
          <cell r="A273" t="str">
            <v>民201</v>
          </cell>
          <cell r="B273">
            <v>507</v>
          </cell>
          <cell r="C273" t="str">
            <v>ｻﾝｼﾝ</v>
          </cell>
          <cell r="E273">
            <v>201</v>
          </cell>
          <cell r="F273" t="str">
            <v>三信リース株式会社</v>
          </cell>
          <cell r="G273" t="str">
            <v>東京都中央区日本橋室町３－２－８</v>
          </cell>
          <cell r="H273" t="str">
            <v>「電子簡易編集システム（増設機器等）」一式の賃貸借契約</v>
          </cell>
          <cell r="I273" t="str">
            <v xml:space="preserve">
外務省大臣官房会計課長　上月豊久
東京都千代田区霞が関２－２－１</v>
          </cell>
          <cell r="J273">
            <v>38443</v>
          </cell>
          <cell r="K273">
            <v>1099596</v>
          </cell>
          <cell r="L273" t="str">
            <v>平成１５年６月２日から３年間を想定してリース契約を行っており、１７年度においても契約行うもの（会計法第２９条の３第４項）。</v>
          </cell>
          <cell r="M273" t="str">
            <v>見直しの余地があるもの</v>
          </cell>
          <cell r="N273" t="str">
            <v>競争入札への移行を検討（機器の入れ替え時（平成１８年以降）に実施方検討する）</v>
          </cell>
          <cell r="P273" t="str">
            <v>民×</v>
          </cell>
          <cell r="Q273" t="str">
            <v>民</v>
          </cell>
          <cell r="S273" t="str">
            <v>民18①</v>
          </cell>
          <cell r="U273" t="str">
            <v>民</v>
          </cell>
          <cell r="W273" t="str">
            <v>①</v>
          </cell>
          <cell r="AA273">
            <v>1700060</v>
          </cell>
          <cell r="AB273">
            <v>1</v>
          </cell>
          <cell r="AC273" t="str">
            <v>17M011</v>
          </cell>
          <cell r="AD273" t="str">
            <v>無指定</v>
          </cell>
          <cell r="AE273" t="str">
            <v>総</v>
          </cell>
          <cell r="AF273" t="str">
            <v>会計課調達室／物品調達班</v>
          </cell>
          <cell r="AG273" t="str">
            <v>仲野</v>
          </cell>
        </row>
        <row r="274">
          <cell r="A274" t="str">
            <v>民202</v>
          </cell>
          <cell r="B274">
            <v>508</v>
          </cell>
          <cell r="C274" t="str">
            <v>ｶﾌﾞﾓﾃｷﾞ</v>
          </cell>
          <cell r="E274">
            <v>202</v>
          </cell>
          <cell r="F274" t="str">
            <v>株式会社茂木電機</v>
          </cell>
          <cell r="G274" t="str">
            <v>東京都杉並区下高井戸３－３２－３３</v>
          </cell>
          <cell r="H274" t="str">
            <v>「電動書架及び空気脱臭減菌清浄機」の保守契約</v>
          </cell>
          <cell r="I274" t="str">
            <v xml:space="preserve">
外務省大臣官房会計課長　上月豊久
東京都千代田区霞が関２－２－１</v>
          </cell>
          <cell r="J274">
            <v>38443</v>
          </cell>
          <cell r="K274">
            <v>2992500</v>
          </cell>
          <cell r="L274" t="str">
            <v>本件書庫製造業者の倒産の後、同書棚の改修を行ってきた業者に保守を行わせるものであり、他に競争を許さない。（会計法第２９条の３第４項）。</v>
          </cell>
          <cell r="M274" t="str">
            <v>見直しの余地があるもの</v>
          </cell>
          <cell r="N274" t="str">
            <v>競争入札または公募への移行を検討する(平成１９年度中に実施予定)</v>
          </cell>
          <cell r="P274" t="str">
            <v>民×</v>
          </cell>
          <cell r="Q274" t="str">
            <v>民</v>
          </cell>
          <cell r="S274" t="str">
            <v>民19②</v>
          </cell>
          <cell r="U274" t="str">
            <v>民</v>
          </cell>
          <cell r="X274" t="str">
            <v>①②</v>
          </cell>
          <cell r="AA274">
            <v>1700265</v>
          </cell>
          <cell r="AB274">
            <v>1</v>
          </cell>
          <cell r="AC274" t="str">
            <v>17Q310</v>
          </cell>
          <cell r="AD274" t="str">
            <v>無指定</v>
          </cell>
          <cell r="AE274" t="str">
            <v>総</v>
          </cell>
          <cell r="AF274" t="str">
            <v>会計課調達室／サービス調達第１班</v>
          </cell>
          <cell r="AG274" t="str">
            <v>竹澤</v>
          </cell>
        </row>
        <row r="275">
          <cell r="A275" t="str">
            <v>民203</v>
          </cell>
          <cell r="B275">
            <v>509</v>
          </cell>
          <cell r="C275" t="str">
            <v>ｶﾌﾞｴﾇﾃｨﾃｨｴﾑｲｰ</v>
          </cell>
          <cell r="E275">
            <v>203</v>
          </cell>
          <cell r="F275" t="str">
            <v>株式会社エヌ・ティ・ティ　エムイー東京　</v>
          </cell>
          <cell r="G275" t="str">
            <v>東京都千代田区内幸町１－１－６</v>
          </cell>
          <cell r="H275" t="str">
            <v>緊急事態用幹部ＦＡＸ機（５３台）の保守契約</v>
          </cell>
          <cell r="I275" t="str">
            <v xml:space="preserve">
外務省大臣官房会計課長　上月豊久
東京都千代田区霞が関２－２－１</v>
          </cell>
          <cell r="J275">
            <v>38443</v>
          </cell>
          <cell r="K275">
            <v>3279144</v>
          </cell>
          <cell r="L275" t="str">
            <v>リース機器がＮＴＴ製であることに加え、２４時間体制で保守が可能なこと、幹部自宅所在地域の電話回線工事を担当するＮＴＴの系列会社であることから、他者との競争がない（会計法第２９条の３第４項）。</v>
          </cell>
          <cell r="M275" t="str">
            <v>見直しの余地があるもの</v>
          </cell>
          <cell r="N275" t="str">
            <v>１８年度において当該事務・事業の委託等を行う予定のないもの</v>
          </cell>
          <cell r="P275" t="str">
            <v>民×</v>
          </cell>
          <cell r="Q275" t="str">
            <v>民</v>
          </cell>
          <cell r="S275" t="str">
            <v>民18×</v>
          </cell>
          <cell r="U275" t="str">
            <v>民</v>
          </cell>
          <cell r="W275" t="str">
            <v>×</v>
          </cell>
          <cell r="AA275">
            <v>1700049</v>
          </cell>
          <cell r="AB275">
            <v>1</v>
          </cell>
          <cell r="AC275" t="str">
            <v>17W021</v>
          </cell>
          <cell r="AD275" t="str">
            <v>無指定</v>
          </cell>
          <cell r="AE275" t="str">
            <v>総</v>
          </cell>
          <cell r="AF275" t="str">
            <v>会計課調達室／物品調達班</v>
          </cell>
          <cell r="AG275" t="str">
            <v>仲野</v>
          </cell>
        </row>
        <row r="276">
          <cell r="A276" t="str">
            <v>民204</v>
          </cell>
          <cell r="B276">
            <v>510</v>
          </cell>
          <cell r="C276" t="str">
            <v>ｹｲﾃﾞｨｰﾃﾞｨｰｱｲ</v>
          </cell>
          <cell r="E276">
            <v>204</v>
          </cell>
          <cell r="F276" t="str">
            <v>ケイディーディーアイ株式会社</v>
          </cell>
          <cell r="G276" t="str">
            <v>東京都千代田区飯田橋３－１０－１０</v>
          </cell>
          <cell r="H276" t="str">
            <v>「テレビ会議システム」賃貸借契約</v>
          </cell>
          <cell r="I276" t="str">
            <v xml:space="preserve">
外務省大臣官房会計課長　上月豊久
東京都千代田区霞が関２－２－１</v>
          </cell>
          <cell r="J276">
            <v>38443</v>
          </cell>
          <cell r="K276">
            <v>4403700</v>
          </cell>
          <cell r="L276" t="str">
            <v>現在稼働中のシステムを引き続きリースするものであり、業務効率・費用面から考えて他に競争を許さない（会計法第２９条の３第４項）。</v>
          </cell>
          <cell r="M276" t="str">
            <v>見直しの余地があるもの</v>
          </cell>
          <cell r="N276" t="str">
            <v>１８年度において当該事務・事業の委託等を行う予定のないもの</v>
          </cell>
          <cell r="P276" t="str">
            <v>民×</v>
          </cell>
          <cell r="Q276" t="str">
            <v>民</v>
          </cell>
          <cell r="S276" t="str">
            <v>民18×</v>
          </cell>
          <cell r="U276" t="str">
            <v>民</v>
          </cell>
          <cell r="W276" t="str">
            <v>×</v>
          </cell>
          <cell r="AA276">
            <v>1700192</v>
          </cell>
          <cell r="AB276">
            <v>1</v>
          </cell>
          <cell r="AC276" t="str">
            <v>17Z015</v>
          </cell>
          <cell r="AD276" t="str">
            <v>無指定</v>
          </cell>
          <cell r="AE276" t="str">
            <v>総</v>
          </cell>
          <cell r="AF276" t="str">
            <v>会計課調達室／物品調達班</v>
          </cell>
          <cell r="AG276" t="str">
            <v>宮田</v>
          </cell>
        </row>
        <row r="277">
          <cell r="A277" t="str">
            <v>民205</v>
          </cell>
          <cell r="B277">
            <v>511</v>
          </cell>
          <cell r="C277" t="str">
            <v>ｾｲｺｰﾀｲﾑｼｽﾃﾑ</v>
          </cell>
          <cell r="E277">
            <v>205</v>
          </cell>
          <cell r="F277" t="str">
            <v>セイコータイムシステム株式会社</v>
          </cell>
          <cell r="G277" t="str">
            <v>東京都中央区日本橋富沢町１１ー１２</v>
          </cell>
          <cell r="H277" t="str">
            <v>「幹部登退庁情報システム」の保守契約</v>
          </cell>
          <cell r="I277" t="str">
            <v xml:space="preserve">
外務省大臣官房会計課長　上月豊久
東京都千代田区霞が関２－２－１</v>
          </cell>
          <cell r="J277">
            <v>38443</v>
          </cell>
          <cell r="K277">
            <v>2156028</v>
          </cell>
          <cell r="L277" t="str">
            <v>本システムの開発を行った会社が同システムの保守を行うものであり、競争を許さない（会計法第２９条の３第４項）。</v>
          </cell>
          <cell r="M277" t="str">
            <v>見直しの余地があるもの</v>
          </cell>
          <cell r="N277" t="str">
            <v>１８年度において当該事務・事業の委託等を行う予定のないもの</v>
          </cell>
          <cell r="P277" t="str">
            <v>民×</v>
          </cell>
          <cell r="Q277" t="str">
            <v>民</v>
          </cell>
          <cell r="S277" t="str">
            <v>民18×</v>
          </cell>
          <cell r="U277" t="str">
            <v>民</v>
          </cell>
          <cell r="W277" t="str">
            <v>×</v>
          </cell>
          <cell r="AA277">
            <v>1700075</v>
          </cell>
          <cell r="AB277">
            <v>1</v>
          </cell>
          <cell r="AC277" t="str">
            <v>17W085</v>
          </cell>
          <cell r="AD277" t="str">
            <v>無指定</v>
          </cell>
          <cell r="AE277" t="str">
            <v>総</v>
          </cell>
          <cell r="AF277" t="str">
            <v>会計課調達室／物品調達班</v>
          </cell>
          <cell r="AG277" t="str">
            <v>宮田</v>
          </cell>
        </row>
        <row r="278">
          <cell r="A278" t="str">
            <v>民206</v>
          </cell>
          <cell r="B278">
            <v>512</v>
          </cell>
          <cell r="C278" t="str">
            <v>ｶﾌﾞｼｰｲｰｼｰ</v>
          </cell>
          <cell r="E278">
            <v>206</v>
          </cell>
          <cell r="F278" t="str">
            <v>株式会社シーイーシー</v>
          </cell>
          <cell r="G278" t="str">
            <v>東京都渋谷区恵比寿南１－５－５</v>
          </cell>
          <cell r="H278" t="str">
            <v>外交記録公開文書閲覧システムの賃貸借</v>
          </cell>
          <cell r="I278" t="str">
            <v xml:space="preserve">
外務省大臣官房会計課長　上月豊久
東京都千代田区霞が関２－２－１</v>
          </cell>
          <cell r="J278">
            <v>38443</v>
          </cell>
          <cell r="K278">
            <v>20843760</v>
          </cell>
          <cell r="L278" t="str">
            <v>平成１６年度において一般競争入札により調達したシステムの賃貸借契約を、国庫債務負担行為手続きにより複数年の賃貸借契約に改めたもの（会計法第２９条の３第４項）。</v>
          </cell>
          <cell r="M278" t="str">
            <v>見直しの余地があるもの</v>
          </cell>
          <cell r="N278" t="str">
            <v>１８年度において当該事務・事業の委託等を行う予定のないもの（複数年度契約締結済み）</v>
          </cell>
          <cell r="O278" t="str">
            <v>契約金額は、平成１７年４月１日から平成２０年５月３１日までのもの。</v>
          </cell>
          <cell r="P278" t="str">
            <v>民×</v>
          </cell>
          <cell r="Q278" t="str">
            <v>民</v>
          </cell>
          <cell r="S278" t="str">
            <v>民18×</v>
          </cell>
          <cell r="U278" t="str">
            <v>民</v>
          </cell>
          <cell r="W278" t="str">
            <v>×</v>
          </cell>
          <cell r="AA278">
            <v>1700387</v>
          </cell>
          <cell r="AB278">
            <v>1</v>
          </cell>
          <cell r="AC278" t="str">
            <v>17W039</v>
          </cell>
          <cell r="AD278" t="str">
            <v>無指定</v>
          </cell>
          <cell r="AE278" t="str">
            <v>総</v>
          </cell>
          <cell r="AF278" t="str">
            <v>会計課調達室／サービス調達第３班</v>
          </cell>
          <cell r="AG278" t="str">
            <v>西村</v>
          </cell>
        </row>
        <row r="279">
          <cell r="A279" t="str">
            <v>民207</v>
          </cell>
          <cell r="B279">
            <v>513</v>
          </cell>
          <cell r="C279" t="str">
            <v>ﾋﾀﾁｷｬﾋﾟ</v>
          </cell>
          <cell r="E279">
            <v>207</v>
          </cell>
          <cell r="F279" t="str">
            <v>日立キャピタル株式会社</v>
          </cell>
          <cell r="G279" t="str">
            <v>東京都港区西新橋２－１５－１２</v>
          </cell>
          <cell r="H279" t="str">
            <v>高速カラー複写機の賃貸借</v>
          </cell>
          <cell r="I279" t="str">
            <v xml:space="preserve">
外務省大臣官房会計課長　上月豊久
東京都千代田区霞が関２－２－１</v>
          </cell>
          <cell r="J279">
            <v>38443</v>
          </cell>
          <cell r="K279">
            <v>16601760</v>
          </cell>
          <cell r="L279" t="str">
            <v>平成１６年度において一般競争入札により調達した高速複写機賃貸借契約を、国庫債務負担行為手続きにより複数年の賃貸借契約に改めたもの(契約期間は平成２１年３月３１日まで)（会計法第２９条の３第４項）。</v>
          </cell>
          <cell r="M279" t="str">
            <v>見直しの余地があるもの</v>
          </cell>
          <cell r="N279" t="str">
            <v>１８年度において当該事務・事業の委託等を行う予定のないもの（複数年度契約締結済み）</v>
          </cell>
          <cell r="O279" t="str">
            <v>契約金額は、平成１７年９月１日から平成２１年３月３１日までのもの。</v>
          </cell>
          <cell r="P279" t="str">
            <v>民×</v>
          </cell>
          <cell r="Q279" t="str">
            <v>民</v>
          </cell>
          <cell r="S279" t="str">
            <v>民18×</v>
          </cell>
          <cell r="U279" t="str">
            <v>民</v>
          </cell>
          <cell r="W279" t="str">
            <v>×</v>
          </cell>
        </row>
        <row r="280">
          <cell r="A280" t="str">
            <v>民208</v>
          </cell>
          <cell r="B280">
            <v>514</v>
          </cell>
          <cell r="C280" t="str">
            <v>ｼｬﾀﾞﾝｷｮｳﾄﾞｳ</v>
          </cell>
          <cell r="E280">
            <v>208</v>
          </cell>
          <cell r="F280" t="str">
            <v>社団法人共同通信社</v>
          </cell>
          <cell r="G280" t="str">
            <v>東京都港区東新橋１－７－１</v>
          </cell>
          <cell r="H280" t="str">
            <v>「共同ゼネラルニュース」情報</v>
          </cell>
          <cell r="I280" t="str">
            <v xml:space="preserve">
外務省大臣官房会計課長　上月豊久
東京都千代田区霞が関２－２－１</v>
          </cell>
          <cell r="J280">
            <v>38443</v>
          </cell>
          <cell r="K280">
            <v>5670000</v>
          </cell>
          <cell r="L280" t="str">
            <v>契約相手先が作成しているニュースの受信契約であり、他に競争を許さない（会計法第２９条の３第４項）。</v>
          </cell>
          <cell r="M280" t="str">
            <v>その他のもの</v>
          </cell>
          <cell r="N280" t="str">
            <v>随意契約によらざるを得ないもの</v>
          </cell>
          <cell r="P280" t="str">
            <v>民×</v>
          </cell>
          <cell r="Q280" t="str">
            <v>民</v>
          </cell>
          <cell r="S280" t="str">
            <v>民1</v>
          </cell>
          <cell r="U280" t="str">
            <v>民</v>
          </cell>
          <cell r="V280" t="str">
            <v>●</v>
          </cell>
          <cell r="AA280">
            <v>1700567</v>
          </cell>
          <cell r="AB280">
            <v>1</v>
          </cell>
          <cell r="AC280" t="str">
            <v>17W023</v>
          </cell>
          <cell r="AD280" t="str">
            <v>無指定</v>
          </cell>
          <cell r="AE280" t="str">
            <v>総</v>
          </cell>
          <cell r="AF280" t="str">
            <v>会計課調達室／サービス調達第１班</v>
          </cell>
          <cell r="AG280" t="str">
            <v>村松</v>
          </cell>
          <cell r="AI280" t="str">
            <v>(H21.01.26回答）
行政目的を達成するために不可欠な情報の提供</v>
          </cell>
          <cell r="AJ280" t="str">
            <v>(H21.01.26回答）
ニ（ヘ）</v>
          </cell>
        </row>
        <row r="281">
          <cell r="A281" t="str">
            <v>民209</v>
          </cell>
          <cell r="B281">
            <v>515</v>
          </cell>
          <cell r="C281" t="str">
            <v>ｶﾌﾞｼﾞｼﾞ</v>
          </cell>
          <cell r="E281">
            <v>209</v>
          </cell>
          <cell r="F281" t="str">
            <v>株式会社時事通信社</v>
          </cell>
          <cell r="G281" t="str">
            <v>東京都中央区銀座５－１５－８</v>
          </cell>
          <cell r="H281" t="str">
            <v>「時事ゼネラルニュース」情報提供</v>
          </cell>
          <cell r="I281" t="str">
            <v xml:space="preserve">
外務省大臣官房会計課長　上月豊久
東京都千代田区霞が関２－２－１</v>
          </cell>
          <cell r="J281">
            <v>38443</v>
          </cell>
          <cell r="K281">
            <v>3987900</v>
          </cell>
          <cell r="L281" t="str">
            <v>契約相手先が作成しているニュースの受信契約であり、他に競争を許さない（会計法第２９条の３第４項）。</v>
          </cell>
          <cell r="M281" t="str">
            <v>その他のもの</v>
          </cell>
          <cell r="N281" t="str">
            <v>随意契約によらざるを得ないもの</v>
          </cell>
          <cell r="P281" t="str">
            <v>民×</v>
          </cell>
          <cell r="Q281" t="str">
            <v>民</v>
          </cell>
          <cell r="S281" t="str">
            <v>民1</v>
          </cell>
          <cell r="U281" t="str">
            <v>民</v>
          </cell>
          <cell r="V281" t="str">
            <v>●</v>
          </cell>
          <cell r="AA281">
            <v>1700259</v>
          </cell>
          <cell r="AB281">
            <v>1</v>
          </cell>
          <cell r="AC281" t="str">
            <v>17W206</v>
          </cell>
          <cell r="AD281" t="str">
            <v>無指定</v>
          </cell>
          <cell r="AE281" t="str">
            <v>総</v>
          </cell>
          <cell r="AF281" t="str">
            <v>会計課調達室／サービス調達第１班</v>
          </cell>
          <cell r="AG281" t="str">
            <v>竹澤</v>
          </cell>
          <cell r="AI281" t="str">
            <v>行政目的を達成するために不可欠な情報の提供</v>
          </cell>
          <cell r="AJ281" t="str">
            <v>ニ（ヘ）</v>
          </cell>
        </row>
        <row r="282">
          <cell r="A282" t="str">
            <v>民210</v>
          </cell>
          <cell r="B282">
            <v>516</v>
          </cell>
          <cell r="C282" t="str">
            <v>ｼｬﾀﾞﾝｷｮｳﾄﾞｳ</v>
          </cell>
          <cell r="E282">
            <v>210</v>
          </cell>
          <cell r="F282" t="str">
            <v>社団法人共同通信社</v>
          </cell>
          <cell r="G282" t="str">
            <v>東京都港区虎ノ門２－２－５</v>
          </cell>
          <cell r="H282" t="str">
            <v>「共同音声ニュース」速報</v>
          </cell>
          <cell r="I282" t="str">
            <v xml:space="preserve">
外務省大臣官房会計課長　上月豊久
東京都千代田区霞が関２－２－１</v>
          </cell>
          <cell r="J282">
            <v>38443</v>
          </cell>
          <cell r="K282">
            <v>1638000</v>
          </cell>
          <cell r="L282" t="str">
            <v>契約相手先が作成しているニュースの受信契約であり、他に競争を許さない（会計法第２９条の３第４項）。</v>
          </cell>
          <cell r="M282" t="str">
            <v>その他のもの</v>
          </cell>
          <cell r="N282" t="str">
            <v>随意契約によらざるを得ないもの</v>
          </cell>
          <cell r="P282" t="str">
            <v>民×</v>
          </cell>
          <cell r="Q282" t="str">
            <v>民</v>
          </cell>
          <cell r="S282" t="str">
            <v>民1</v>
          </cell>
          <cell r="U282" t="str">
            <v>民</v>
          </cell>
          <cell r="V282" t="str">
            <v>●</v>
          </cell>
          <cell r="AA282">
            <v>1700637</v>
          </cell>
          <cell r="AB282">
            <v>1</v>
          </cell>
          <cell r="AC282" t="str">
            <v>17W024</v>
          </cell>
          <cell r="AD282" t="str">
            <v>無指定</v>
          </cell>
          <cell r="AE282" t="str">
            <v>総</v>
          </cell>
          <cell r="AF282" t="str">
            <v>会計課調達室／サービス調達第１班</v>
          </cell>
          <cell r="AG282" t="str">
            <v>村松</v>
          </cell>
          <cell r="AI282" t="str">
            <v>(H21.01.26回答）
行政目的を達成するために不可欠な情報の提供</v>
          </cell>
          <cell r="AJ282" t="str">
            <v>(H21.01.26回答）
ニ（ヘ）</v>
          </cell>
        </row>
        <row r="283">
          <cell r="A283" t="str">
            <v>民211</v>
          </cell>
          <cell r="B283">
            <v>517</v>
          </cell>
          <cell r="C283" t="str">
            <v>ｶﾌﾞｼﾞｼﾞ</v>
          </cell>
          <cell r="E283">
            <v>211</v>
          </cell>
          <cell r="F283" t="str">
            <v>株式会社時事通信社</v>
          </cell>
          <cell r="G283" t="str">
            <v>東京都中央区銀座５－１５－８</v>
          </cell>
          <cell r="H283" t="str">
            <v>「時事重要ニュース・情報音声サービス」契約</v>
          </cell>
          <cell r="I283" t="str">
            <v xml:space="preserve">
外務省大臣官房会計課長　上月豊久
東京都千代田区霞が関２－２－１</v>
          </cell>
          <cell r="J283">
            <v>38443</v>
          </cell>
          <cell r="K283">
            <v>1260000</v>
          </cell>
          <cell r="L283" t="str">
            <v>契約相手先が作成しているニュースの受信契約であり、他に競争を許さない（会計法第２９条の３第４項）。</v>
          </cell>
          <cell r="M283" t="str">
            <v>その他のもの</v>
          </cell>
          <cell r="N283" t="str">
            <v>随意契約によらざるを得ないもの</v>
          </cell>
          <cell r="P283" t="str">
            <v>民×</v>
          </cell>
          <cell r="Q283" t="str">
            <v>民</v>
          </cell>
          <cell r="S283" t="str">
            <v>民1</v>
          </cell>
          <cell r="U283" t="str">
            <v>民</v>
          </cell>
          <cell r="V283" t="str">
            <v>●</v>
          </cell>
          <cell r="AA283">
            <v>1700264</v>
          </cell>
          <cell r="AB283">
            <v>1</v>
          </cell>
          <cell r="AC283" t="str">
            <v>17W207</v>
          </cell>
          <cell r="AD283" t="str">
            <v>無指定</v>
          </cell>
          <cell r="AE283" t="str">
            <v>総</v>
          </cell>
          <cell r="AF283" t="str">
            <v>会計課調達室／サービス調達第１班</v>
          </cell>
          <cell r="AG283" t="str">
            <v>竹澤</v>
          </cell>
          <cell r="AI283" t="str">
            <v>行政目的を達成するために不可欠な情報の提供</v>
          </cell>
          <cell r="AJ283" t="str">
            <v>ニ（ヘ）</v>
          </cell>
        </row>
        <row r="284">
          <cell r="A284" t="str">
            <v>民212</v>
          </cell>
          <cell r="B284">
            <v>518</v>
          </cell>
          <cell r="C284" t="str">
            <v>ﾀﾈﾍﾞｿｳｺﾞｳ</v>
          </cell>
          <cell r="E284">
            <v>212</v>
          </cell>
          <cell r="F284" t="str">
            <v>田辺総合法律事務所</v>
          </cell>
          <cell r="G284" t="str">
            <v>東京都千代田区丸ノ内３－４－２</v>
          </cell>
          <cell r="H284" t="str">
            <v>顧問弁護士契約</v>
          </cell>
          <cell r="I284" t="str">
            <v xml:space="preserve">
外務省大臣官房会計課長　上月豊久
東京都千代田区霞が関２－２－１</v>
          </cell>
          <cell r="J284">
            <v>38443</v>
          </cell>
          <cell r="K284">
            <v>7200000</v>
          </cell>
          <cell r="L284" t="str">
            <v>過去に当省が行った種々の法律相談案件対応との継続性を保ち、かつ今後も円滑に対処していくためには、これまでに十分な実績や情報の蓄積があり、当省との間に信頼性を確立している法律事務所に委託する必要がある（会計法第２９条の３第４項）。</v>
          </cell>
          <cell r="M284" t="str">
            <v>その他のもの</v>
          </cell>
          <cell r="N284" t="str">
            <v>随意契約によらざるを得ないもの</v>
          </cell>
          <cell r="P284" t="str">
            <v>民×</v>
          </cell>
          <cell r="Q284" t="str">
            <v>民</v>
          </cell>
          <cell r="S284" t="str">
            <v>民1</v>
          </cell>
          <cell r="U284" t="str">
            <v>民</v>
          </cell>
          <cell r="V284" t="str">
            <v>●</v>
          </cell>
          <cell r="AA284">
            <v>1700297</v>
          </cell>
          <cell r="AB284">
            <v>1</v>
          </cell>
          <cell r="AC284" t="str">
            <v>17G011</v>
          </cell>
          <cell r="AD284" t="str">
            <v>無指定</v>
          </cell>
          <cell r="AE284" t="str">
            <v>総</v>
          </cell>
          <cell r="AF284" t="str">
            <v>会計課調達室／サービス調達第１班</v>
          </cell>
          <cell r="AG284" t="str">
            <v>村松</v>
          </cell>
          <cell r="AI284" t="str">
            <v>行政目的を達成するために不可欠な業務を提供することが可能な者から提供を受けるもの</v>
          </cell>
          <cell r="AJ284" t="str">
            <v>ニ（ヘ）
に準ずる</v>
          </cell>
        </row>
        <row r="285">
          <cell r="A285" t="str">
            <v>民213</v>
          </cell>
          <cell r="B285">
            <v>519</v>
          </cell>
          <cell r="C285" t="str">
            <v>ﾄｸﾃｲﾋｴｲﾘｲﾝﾀｰ</v>
          </cell>
          <cell r="E285">
            <v>213</v>
          </cell>
          <cell r="F285" t="str">
            <v>特定非営利活動法人インターアクション・カウンシル日本委員会</v>
          </cell>
          <cell r="G285" t="str">
            <v>東京都港区六本木３－１６－１３－６０９</v>
          </cell>
          <cell r="H285" t="str">
            <v>元老会議（インターアクション・カウンシル）の専門家会議開催業務委嘱</v>
          </cell>
          <cell r="I285" t="str">
            <v xml:space="preserve">
外務省大臣官房会計課長　上月豊久
東京都千代田区霞が関２－２－１</v>
          </cell>
          <cell r="J285">
            <v>38443</v>
          </cell>
          <cell r="K285">
            <v>9643467</v>
          </cell>
          <cell r="L285" t="str">
            <v>契約相手先は本件会議発足以来事務局を務めている団体であり、今次会議開催において十分な成果を期待できるのは同団体のみであると考えられる（会計法第２９条の３第４項）。</v>
          </cell>
          <cell r="M285" t="str">
            <v>その他のもの</v>
          </cell>
          <cell r="N285" t="str">
            <v>随意契約によらざるを得ないもの</v>
          </cell>
          <cell r="P285" t="str">
            <v>民×</v>
          </cell>
          <cell r="Q285" t="str">
            <v>民</v>
          </cell>
          <cell r="S285" t="str">
            <v>民1</v>
          </cell>
          <cell r="U285" t="str">
            <v>民</v>
          </cell>
          <cell r="V285" t="str">
            <v>●</v>
          </cell>
          <cell r="AA285">
            <v>1700634</v>
          </cell>
          <cell r="AB285">
            <v>1</v>
          </cell>
          <cell r="AC285" t="str">
            <v>17G062</v>
          </cell>
          <cell r="AD285" t="str">
            <v>無指定</v>
          </cell>
          <cell r="AE285" t="str">
            <v>総企</v>
          </cell>
          <cell r="AF285" t="str">
            <v>会計課調達室／サービス調達第２班</v>
          </cell>
          <cell r="AG285" t="str">
            <v>光山</v>
          </cell>
          <cell r="AI285" t="str">
            <v>行政目的を達成するために不可欠な業務を提供することが可能な者から提供を受けるもの
元老会議は、故福田総理の提唱により創立され、各国の大統領、首相経験者が意見交換を行うもの
（但し、平成21年度に競争性のある方式（公募）を実施への移行を予定している。）</v>
          </cell>
          <cell r="AJ285" t="str">
            <v>ニ（へ）に準ずる</v>
          </cell>
        </row>
        <row r="286">
          <cell r="A286" t="str">
            <v>民214</v>
          </cell>
          <cell r="B286">
            <v>520</v>
          </cell>
          <cell r="C286" t="str">
            <v>ﾋｶﾞｼﾆﾎﾝﾘｮｷｬｸﾃﾂﾄﾞｳ</v>
          </cell>
          <cell r="E286">
            <v>214</v>
          </cell>
          <cell r="F286" t="str">
            <v>東日本旅客鉄道株式会社</v>
          </cell>
          <cell r="G286" t="str">
            <v>東京都渋谷区代々木２－２ー２</v>
          </cell>
          <cell r="H286" t="str">
            <v>「国際救援センター敷地」賃貸借契約</v>
          </cell>
          <cell r="I286" t="str">
            <v xml:space="preserve">
外務省大臣官房会計課長　上月豊久
東京都千代田区霞が関２－２－１</v>
          </cell>
          <cell r="J286">
            <v>38443</v>
          </cell>
          <cell r="K286">
            <v>211759800</v>
          </cell>
          <cell r="L286" t="str">
            <v>契約目的、行政効率等を勘案すれば、契約物件に代替可能な物件は見あたらない事から他に競争を許さない（会計法第２９条の３第４項）。</v>
          </cell>
          <cell r="M286" t="str">
            <v>見直しの余地があるもの</v>
          </cell>
          <cell r="N286" t="str">
            <v>１８年度限りで同敷地の賃貸借契約を終了する</v>
          </cell>
          <cell r="P286" t="str">
            <v>民×</v>
          </cell>
          <cell r="Q286" t="str">
            <v>民</v>
          </cell>
          <cell r="S286" t="str">
            <v>民18×</v>
          </cell>
          <cell r="U286" t="str">
            <v>民</v>
          </cell>
          <cell r="W286" t="str">
            <v>×</v>
          </cell>
          <cell r="AA286">
            <v>1700362</v>
          </cell>
          <cell r="AB286">
            <v>1</v>
          </cell>
          <cell r="AC286" t="str">
            <v>17Q153</v>
          </cell>
          <cell r="AD286" t="str">
            <v>無指定</v>
          </cell>
          <cell r="AE286" t="str">
            <v>国人支</v>
          </cell>
          <cell r="AF286" t="str">
            <v>会計課調達室／サービス調達第１班</v>
          </cell>
          <cell r="AG286" t="str">
            <v>村松</v>
          </cell>
        </row>
        <row r="287">
          <cell r="A287" t="str">
            <v>民215</v>
          </cell>
          <cell r="B287">
            <v>521</v>
          </cell>
          <cell r="C287" t="str">
            <v>ｶﾌﾞﾃﾞﾝﾂｰ</v>
          </cell>
          <cell r="E287">
            <v>215</v>
          </cell>
          <cell r="F287" t="str">
            <v>株式会社電通</v>
          </cell>
          <cell r="G287" t="str">
            <v>東京都港区東新橋１－８－１</v>
          </cell>
          <cell r="H287" t="str">
            <v>中東関連記事のクリッピングサービス（ＥＬネット）単価契約</v>
          </cell>
          <cell r="I287" t="str">
            <v xml:space="preserve">
外務省大臣官房会計課長　上月豊久
東京都千代田区霞が関２－２－１</v>
          </cell>
          <cell r="J287">
            <v>38443</v>
          </cell>
          <cell r="K287">
            <v>1029798</v>
          </cell>
          <cell r="L287" t="str">
            <v>本件データベースの運営・情報提供を行っている会社との契約であり、主要６紙を提供できる唯一の会社であるため他に競争を許さない（会計法第２９条３第４項）。</v>
          </cell>
          <cell r="M287" t="str">
            <v>見直しの余地があるもの</v>
          </cell>
          <cell r="N287" t="str">
            <v>１８年度において当該事務・事業の委託を行わないもの</v>
          </cell>
          <cell r="O287" t="str">
            <v>単価契約</v>
          </cell>
          <cell r="P287" t="str">
            <v>民×</v>
          </cell>
          <cell r="Q287" t="str">
            <v>民</v>
          </cell>
          <cell r="S287" t="str">
            <v>民18×</v>
          </cell>
          <cell r="U287" t="str">
            <v>民</v>
          </cell>
          <cell r="W287" t="str">
            <v>×</v>
          </cell>
          <cell r="AA287" t="str">
            <v>1700065　　　他7件</v>
          </cell>
          <cell r="AB287">
            <v>1</v>
          </cell>
          <cell r="AC287" t="str">
            <v>17X145</v>
          </cell>
          <cell r="AD287" t="str">
            <v>無指定</v>
          </cell>
          <cell r="AE287" t="str">
            <v>亜東１</v>
          </cell>
          <cell r="AF287" t="str">
            <v>会計課調達室／サービス調達第１班</v>
          </cell>
          <cell r="AG287" t="str">
            <v>村松</v>
          </cell>
        </row>
        <row r="288">
          <cell r="A288" t="str">
            <v>民216</v>
          </cell>
          <cell r="B288">
            <v>522</v>
          </cell>
          <cell r="C288" t="str">
            <v>ﾚｷｻｽ</v>
          </cell>
          <cell r="E288">
            <v>216</v>
          </cell>
          <cell r="F288" t="str">
            <v xml:space="preserve">LEXIS-NEXIS </v>
          </cell>
          <cell r="G288" t="str">
            <v>9443 Springboro Pike</v>
          </cell>
          <cell r="H288" t="str">
            <v>「英文による国際法判例・法律文献検索システム」の利用</v>
          </cell>
          <cell r="I288" t="str">
            <v xml:space="preserve">
外務省大臣官房会計課長　上月豊久
東京都千代田区霞が関２－２－１</v>
          </cell>
          <cell r="J288">
            <v>38443</v>
          </cell>
          <cell r="K288">
            <v>1540800</v>
          </cell>
          <cell r="L288" t="str">
            <v>本件データベースサービスの運用・提供を行う会社との契約であり、他に競争を許さない（会計法第２９条の３第４項）。</v>
          </cell>
          <cell r="M288" t="str">
            <v>その他のもの</v>
          </cell>
          <cell r="N288" t="str">
            <v>随意契約によらざるを得ないもの</v>
          </cell>
          <cell r="P288" t="str">
            <v>民×</v>
          </cell>
          <cell r="Q288" t="str">
            <v>民</v>
          </cell>
          <cell r="S288" t="str">
            <v>民1</v>
          </cell>
          <cell r="U288" t="str">
            <v>民</v>
          </cell>
          <cell r="V288" t="str">
            <v>●</v>
          </cell>
          <cell r="AA288">
            <v>1700309</v>
          </cell>
          <cell r="AB288">
            <v>1</v>
          </cell>
          <cell r="AD288" t="str">
            <v>無指定</v>
          </cell>
          <cell r="AE288" t="str">
            <v>法国</v>
          </cell>
          <cell r="AF288" t="str">
            <v>会計課調達室／サービス調達第１班</v>
          </cell>
          <cell r="AG288" t="str">
            <v>村松</v>
          </cell>
          <cell r="AI288" t="str">
            <v>現在稼働中のシステムの保守を同システムの開発業者である契約の相手方に委嘱するものであり、業務効率・費用面から他業者の追随を許さず、本件システムの導入後満５年となる平成２１年度末までは競争入札への移行は困難であるため</v>
          </cell>
          <cell r="AJ288" t="str">
            <v>平成２２年度より</v>
          </cell>
        </row>
        <row r="289">
          <cell r="A289" t="str">
            <v>民217</v>
          </cell>
          <cell r="B289">
            <v>523</v>
          </cell>
          <cell r="C289" t="str">
            <v>ｶﾌﾞｴﾇﾃｨﾃｨ</v>
          </cell>
          <cell r="E289">
            <v>217</v>
          </cell>
          <cell r="F289" t="str">
            <v>株式会社エヌ・ティ・ティ・データ</v>
          </cell>
          <cell r="G289" t="str">
            <v>東京都新宿区西五軒町１３－１</v>
          </cell>
          <cell r="H289" t="str">
            <v>「在京外国人特派員記者証の発給自動化システム」の保守契約</v>
          </cell>
          <cell r="I289" t="str">
            <v xml:space="preserve">
外務省大臣官房会計課長　上月豊久
東京都千代田区霞が関２－２－１</v>
          </cell>
          <cell r="J289">
            <v>38443</v>
          </cell>
          <cell r="K289">
            <v>1080618</v>
          </cell>
          <cell r="L289" t="str">
            <v>現在稼働中のシステムの保守を同システムの開発業者である契約相手先に委託するものであり、業務効率・費用面から考えて他に競争を許さない（会計法第２９条の３第４項）。</v>
          </cell>
          <cell r="M289" t="str">
            <v>見直しの余地があるもの</v>
          </cell>
          <cell r="N289" t="str">
            <v>競争入札もしくは企画招請への移行を検討(システムの入替時(２１年度以降)に移行を検討)</v>
          </cell>
          <cell r="P289" t="str">
            <v>民×</v>
          </cell>
          <cell r="Q289" t="str">
            <v>民</v>
          </cell>
          <cell r="S289" t="str">
            <v>民21②</v>
          </cell>
          <cell r="U289" t="str">
            <v>民</v>
          </cell>
          <cell r="Z289" t="str">
            <v>②</v>
          </cell>
          <cell r="AA289">
            <v>1700416</v>
          </cell>
          <cell r="AB289">
            <v>1</v>
          </cell>
          <cell r="AD289" t="str">
            <v>無指定</v>
          </cell>
          <cell r="AE289" t="str">
            <v>報際</v>
          </cell>
          <cell r="AF289" t="str">
            <v>会計課調達室／サービス調達第１班</v>
          </cell>
          <cell r="AG289" t="str">
            <v>村松</v>
          </cell>
        </row>
        <row r="290">
          <cell r="A290" t="str">
            <v>民218</v>
          </cell>
          <cell r="B290">
            <v>524</v>
          </cell>
          <cell r="C290" t="str">
            <v>ｴﾇﾃｨﾃｨｰﾗｰﾆﾝｸﾞ</v>
          </cell>
          <cell r="E290">
            <v>218</v>
          </cell>
          <cell r="F290" t="str">
            <v>ＮＴＴラーニングシステムズ株式会社</v>
          </cell>
          <cell r="G290" t="str">
            <v>東京都港区南麻布１－６－１５</v>
          </cell>
          <cell r="H290" t="str">
            <v>「インターネット記者会見チャットシステム」運用・保守契約</v>
          </cell>
          <cell r="I290" t="str">
            <v xml:space="preserve">
外務省大臣官房会計課長　上月豊久
東京都千代田区霞が関２－２－１</v>
          </cell>
          <cell r="J290">
            <v>38443</v>
          </cell>
          <cell r="K290">
            <v>3787245</v>
          </cell>
          <cell r="L290"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290" t="str">
            <v>見直しの余地があるもの</v>
          </cell>
          <cell r="N290" t="str">
            <v>競争入札へ移行（平成２０年度以降のシステムの再構築時に実施予定）</v>
          </cell>
          <cell r="P290" t="str">
            <v>民×</v>
          </cell>
          <cell r="Q290" t="str">
            <v>民</v>
          </cell>
          <cell r="S290" t="str">
            <v>民20①</v>
          </cell>
          <cell r="U290" t="str">
            <v>民</v>
          </cell>
          <cell r="Y290" t="str">
            <v>①</v>
          </cell>
          <cell r="AA290">
            <v>1700631</v>
          </cell>
          <cell r="AB290">
            <v>1</v>
          </cell>
          <cell r="AC290" t="str">
            <v>17W096</v>
          </cell>
          <cell r="AD290" t="str">
            <v>無指定</v>
          </cell>
          <cell r="AE290" t="str">
            <v>報際</v>
          </cell>
          <cell r="AF290" t="str">
            <v>会計課調達室／サービス調達第２班</v>
          </cell>
          <cell r="AG290" t="str">
            <v>高出</v>
          </cell>
        </row>
        <row r="291">
          <cell r="A291" t="str">
            <v>民219</v>
          </cell>
          <cell r="B291">
            <v>525</v>
          </cell>
          <cell r="C291" t="str">
            <v>ｴｰﾋﾟｰﾂｳｼﾝ</v>
          </cell>
          <cell r="E291">
            <v>219</v>
          </cell>
          <cell r="F291" t="str">
            <v>ＡＰ通信社東京支局</v>
          </cell>
          <cell r="G291" t="str">
            <v>東京都港区東新橋１－７－１　</v>
          </cell>
          <cell r="H291" t="str">
            <v>「ＡＰ通信ニュース」受信</v>
          </cell>
          <cell r="I291" t="str">
            <v xml:space="preserve">
外務省大臣官房会計課長　上月豊久
東京都千代田区霞が関２－２－１</v>
          </cell>
          <cell r="J291">
            <v>38443</v>
          </cell>
          <cell r="K291">
            <v>8712000</v>
          </cell>
          <cell r="L291" t="str">
            <v>契約相手先が作成しているニュースの受信契約であり、他に競争を許さない（会計法第２９条の３第４項）。</v>
          </cell>
          <cell r="M291" t="str">
            <v>その他のもの</v>
          </cell>
          <cell r="N291" t="str">
            <v>随意契約によらざるを得ないもの</v>
          </cell>
          <cell r="P291" t="str">
            <v>民×</v>
          </cell>
          <cell r="Q291" t="str">
            <v>民</v>
          </cell>
          <cell r="S291" t="str">
            <v>民1</v>
          </cell>
          <cell r="U291" t="str">
            <v>民</v>
          </cell>
          <cell r="V291" t="str">
            <v>●</v>
          </cell>
          <cell r="AA291">
            <v>1700301</v>
          </cell>
          <cell r="AB291">
            <v>1</v>
          </cell>
          <cell r="AD291" t="str">
            <v>無指定</v>
          </cell>
          <cell r="AE291" t="str">
            <v>報際</v>
          </cell>
          <cell r="AF291" t="str">
            <v>会計課調達室／サービス調達第１班</v>
          </cell>
          <cell r="AG291" t="str">
            <v>村松</v>
          </cell>
          <cell r="AI291" t="str">
            <v>行政目的を達成するために不可欠な情報の提供</v>
          </cell>
          <cell r="AJ291" t="str">
            <v>ニ（ヘ）</v>
          </cell>
        </row>
        <row r="292">
          <cell r="A292" t="str">
            <v>民220</v>
          </cell>
          <cell r="B292">
            <v>526</v>
          </cell>
          <cell r="C292" t="str">
            <v>ｼｬﾀﾞﾝｷｮｳﾄﾞｳ</v>
          </cell>
          <cell r="E292">
            <v>220</v>
          </cell>
          <cell r="F292" t="str">
            <v>社団法人共同通信社</v>
          </cell>
          <cell r="G292" t="str">
            <v>東京都港区東新橋１－７－１</v>
          </cell>
          <cell r="H292" t="str">
            <v>「ＵＰＩ通信テレタイプニュース」受信</v>
          </cell>
          <cell r="I292" t="str">
            <v xml:space="preserve">
外務省大臣官房会計課長　上月豊久
東京都千代田区霞が関２－２－１</v>
          </cell>
          <cell r="J292">
            <v>38443</v>
          </cell>
          <cell r="K292">
            <v>4660740</v>
          </cell>
          <cell r="L292" t="str">
            <v>契約相手先が作成しているニュースの受信契約であり、他に競争を許さない（会計法第２９条の３第４項）。</v>
          </cell>
          <cell r="M292" t="str">
            <v>その他のもの</v>
          </cell>
          <cell r="N292" t="str">
            <v>随意契約によらざるを得ないもの</v>
          </cell>
          <cell r="P292" t="str">
            <v>民×</v>
          </cell>
          <cell r="Q292" t="str">
            <v>民</v>
          </cell>
          <cell r="S292" t="str">
            <v>民1</v>
          </cell>
          <cell r="U292" t="str">
            <v>民</v>
          </cell>
          <cell r="V292" t="str">
            <v>●</v>
          </cell>
          <cell r="AA292">
            <v>1700542</v>
          </cell>
          <cell r="AB292">
            <v>1</v>
          </cell>
          <cell r="AC292" t="str">
            <v>17S032</v>
          </cell>
          <cell r="AD292" t="str">
            <v>無指定</v>
          </cell>
          <cell r="AE292" t="str">
            <v>報際</v>
          </cell>
          <cell r="AF292" t="str">
            <v>会計課調達室／サービス調達第１班</v>
          </cell>
          <cell r="AG292" t="str">
            <v>竹澤</v>
          </cell>
          <cell r="AI292" t="str">
            <v>行政目的を達成するために不可欠な情報の提供</v>
          </cell>
          <cell r="AJ292" t="str">
            <v>ニ（ヘ）</v>
          </cell>
        </row>
        <row r="293">
          <cell r="A293" t="str">
            <v>民221</v>
          </cell>
          <cell r="B293">
            <v>527</v>
          </cell>
          <cell r="C293" t="str">
            <v>ｶﾌﾞｼﾞｼﾞ</v>
          </cell>
          <cell r="E293">
            <v>221</v>
          </cell>
          <cell r="F293" t="str">
            <v>株式会社時事通信社</v>
          </cell>
          <cell r="G293" t="str">
            <v>東京都中央区銀座５－１５－８</v>
          </cell>
          <cell r="H293" t="str">
            <v>「ＡＦＰ通信ニュース」受信</v>
          </cell>
          <cell r="I293" t="str">
            <v xml:space="preserve">
外務省大臣官房会計課長　上月豊久
東京都千代田区霞が関２－２－１</v>
          </cell>
          <cell r="J293">
            <v>38443</v>
          </cell>
          <cell r="K293">
            <v>4561200</v>
          </cell>
          <cell r="L293" t="str">
            <v>契約相手先が作成しているニュースの受信契約であり、他に競争を許さない（会計法第２９条の３第４項）。</v>
          </cell>
          <cell r="M293" t="str">
            <v>その他のもの</v>
          </cell>
          <cell r="N293" t="str">
            <v>随意契約によらざるを得ないもの</v>
          </cell>
          <cell r="P293" t="str">
            <v>民×</v>
          </cell>
          <cell r="Q293" t="str">
            <v>民</v>
          </cell>
          <cell r="S293" t="str">
            <v>民1</v>
          </cell>
          <cell r="U293" t="str">
            <v>民</v>
          </cell>
          <cell r="V293" t="str">
            <v>●</v>
          </cell>
          <cell r="AA293">
            <v>1700274</v>
          </cell>
          <cell r="AB293">
            <v>1</v>
          </cell>
          <cell r="AC293" t="str">
            <v>17S298</v>
          </cell>
          <cell r="AD293" t="str">
            <v>無指定</v>
          </cell>
          <cell r="AE293" t="str">
            <v>報際</v>
          </cell>
          <cell r="AF293" t="str">
            <v>会計課調達室／サービス調達第１班</v>
          </cell>
          <cell r="AG293" t="str">
            <v>竹澤</v>
          </cell>
          <cell r="AI293" t="str">
            <v>行政目的を達成するために不可欠な情報の提供</v>
          </cell>
          <cell r="AJ293" t="str">
            <v>ニ（ヘ）</v>
          </cell>
        </row>
        <row r="294">
          <cell r="A294" t="str">
            <v>民222</v>
          </cell>
          <cell r="B294">
            <v>528</v>
          </cell>
          <cell r="C294" t="str">
            <v>ﾛｲﾀｰ</v>
          </cell>
          <cell r="E294">
            <v>222</v>
          </cell>
          <cell r="F294" t="str">
            <v>ロイター・ジャパン株式会社</v>
          </cell>
          <cell r="G294" t="str">
            <v>東京都港区虎ノ門４－３－１３　</v>
          </cell>
          <cell r="H294" t="str">
            <v>「ファクティバ・ドットコム」の利用契約</v>
          </cell>
          <cell r="I294" t="str">
            <v xml:space="preserve">
外務省大臣官房会計課長　上月豊久
東京都千代田区霞が関２－２－１</v>
          </cell>
          <cell r="J294">
            <v>38443</v>
          </cell>
          <cell r="K294">
            <v>4410000</v>
          </cell>
          <cell r="L294" t="str">
            <v>本件データベースサービスの提供を行う会社との契約であり、他に競争を許さない（会計法第２９条の３第４項）。</v>
          </cell>
          <cell r="M294" t="str">
            <v>その他のもの</v>
          </cell>
          <cell r="N294" t="str">
            <v>随意契約によらざるを得ないもの</v>
          </cell>
          <cell r="P294" t="str">
            <v>民×</v>
          </cell>
          <cell r="Q294" t="str">
            <v>民</v>
          </cell>
          <cell r="S294" t="str">
            <v>民1</v>
          </cell>
          <cell r="U294" t="str">
            <v>民</v>
          </cell>
          <cell r="V294" t="str">
            <v>●</v>
          </cell>
          <cell r="AA294">
            <v>1700331</v>
          </cell>
          <cell r="AB294">
            <v>1</v>
          </cell>
          <cell r="AC294" t="str">
            <v>17S426</v>
          </cell>
          <cell r="AD294" t="str">
            <v>無指定</v>
          </cell>
          <cell r="AE294" t="str">
            <v>報際</v>
          </cell>
          <cell r="AF294" t="str">
            <v>会計課調達室／サービス調達第１班</v>
          </cell>
          <cell r="AG294" t="str">
            <v>竹澤</v>
          </cell>
          <cell r="AI294" t="str">
            <v>行政目的を達成するために不可欠な情報の提供</v>
          </cell>
          <cell r="AJ294" t="str">
            <v>ニ（ヘ）</v>
          </cell>
        </row>
        <row r="295">
          <cell r="A295" t="str">
            <v>民223</v>
          </cell>
          <cell r="B295">
            <v>529</v>
          </cell>
          <cell r="C295" t="str">
            <v>ｶﾌﾞｷｮｳﾄﾞｳ</v>
          </cell>
          <cell r="E295">
            <v>223</v>
          </cell>
          <cell r="F295" t="str">
            <v>株式会社共同通信リース／
株式会社ラデックス</v>
          </cell>
          <cell r="G295" t="str">
            <v xml:space="preserve">
東京都台東区浅草橋５－２０－８</v>
          </cell>
          <cell r="H295" t="str">
            <v>外電検索システムの賃貸借</v>
          </cell>
          <cell r="I295" t="str">
            <v xml:space="preserve">
外務省大臣官房会計課長　上月豊久
東京都千代田区霞が関２－２－１</v>
          </cell>
          <cell r="J295">
            <v>38443</v>
          </cell>
          <cell r="K295">
            <v>12747168</v>
          </cell>
          <cell r="L295" t="str">
            <v>平成１６年度において平成２１年１２月３１日までの賃貸借を前提として構築したシステム利用経費の継続契約（会計法第２９条の３第４項、特定政令に該当）。</v>
          </cell>
          <cell r="M295" t="str">
            <v>見直しの余地があるもの</v>
          </cell>
          <cell r="N295" t="str">
            <v>１８年度において当該事務・事業の委託を行わないもの</v>
          </cell>
          <cell r="P295" t="str">
            <v>民×</v>
          </cell>
          <cell r="Q295" t="str">
            <v>民</v>
          </cell>
          <cell r="S295" t="str">
            <v>民18×</v>
          </cell>
          <cell r="U295" t="str">
            <v>民</v>
          </cell>
          <cell r="W295" t="str">
            <v>×</v>
          </cell>
          <cell r="AA295">
            <v>1700450</v>
          </cell>
          <cell r="AB295">
            <v>1</v>
          </cell>
          <cell r="AC295" t="str">
            <v>17W003</v>
          </cell>
          <cell r="AD295" t="str">
            <v>無指定</v>
          </cell>
          <cell r="AE295" t="str">
            <v>報際</v>
          </cell>
          <cell r="AF295" t="str">
            <v>会計課調達室／サービス調達第３班</v>
          </cell>
          <cell r="AG295" t="str">
            <v>川上</v>
          </cell>
        </row>
        <row r="296">
          <cell r="A296" t="str">
            <v>民224</v>
          </cell>
          <cell r="B296">
            <v>530</v>
          </cell>
          <cell r="C296" t="str">
            <v>ｼｬｶｲﾌｸｼﾆﾎﾝ</v>
          </cell>
          <cell r="E296">
            <v>224</v>
          </cell>
          <cell r="F296" t="str">
            <v>社会福祉法人日本点字図書館</v>
          </cell>
          <cell r="G296" t="str">
            <v>東京都新宿区高田馬場１－２３－４</v>
          </cell>
          <cell r="H296" t="str">
            <v>視聴覚障害者向け録音テープ制作契約</v>
          </cell>
          <cell r="I296" t="str">
            <v xml:space="preserve">
外務省大臣官房会計課長　上月豊久
東京都千代田区霞が関２－２－１</v>
          </cell>
          <cell r="J296">
            <v>38443</v>
          </cell>
          <cell r="K296">
            <v>1440000</v>
          </cell>
          <cell r="L296" t="str">
            <v>契約相手先は、日本全国の視聴覚障害者施設を把握し、各種教材を送付するルートを有している唯一の団体である事から、契約目的を達成するためには不可欠な相手先である（会計法第２９条の３第４項）。</v>
          </cell>
          <cell r="M296" t="str">
            <v>見直しの余地があるもの</v>
          </cell>
          <cell r="N296" t="str">
            <v>１９年度事業開始時より公募を実施予定</v>
          </cell>
          <cell r="P296" t="str">
            <v>民×</v>
          </cell>
          <cell r="Q296" t="str">
            <v>民</v>
          </cell>
          <cell r="S296" t="str">
            <v>民19②</v>
          </cell>
          <cell r="U296" t="str">
            <v>民</v>
          </cell>
          <cell r="X296" t="str">
            <v>②</v>
          </cell>
          <cell r="AA296">
            <v>1700424</v>
          </cell>
          <cell r="AB296">
            <v>1</v>
          </cell>
          <cell r="AD296" t="str">
            <v>無指定</v>
          </cell>
          <cell r="AE296" t="str">
            <v>報内</v>
          </cell>
          <cell r="AF296" t="str">
            <v>会計課調達室／サービス調達第１班</v>
          </cell>
          <cell r="AG296" t="str">
            <v>村松</v>
          </cell>
        </row>
        <row r="297">
          <cell r="A297" t="str">
            <v>民225</v>
          </cell>
          <cell r="B297">
            <v>531</v>
          </cell>
          <cell r="C297" t="str">
            <v>ﾎﾞﾀﾞﾒﾃﾞｨｱ</v>
          </cell>
          <cell r="E297">
            <v>225</v>
          </cell>
          <cell r="F297" t="str">
            <v>ボダメディア株式会社</v>
          </cell>
          <cell r="G297" t="str">
            <v>東京都渋谷区渋谷３－１２－２２</v>
          </cell>
          <cell r="H297" t="str">
            <v>「ＭＯＦＡＸ（外務省情報サービス）」委託契約</v>
          </cell>
          <cell r="I297" t="str">
            <v xml:space="preserve">
外務省大臣官房会計課長　上月豊久
東京都千代田区霞が関２－２－１</v>
          </cell>
          <cell r="J297">
            <v>38443</v>
          </cell>
          <cell r="K297">
            <v>2835000</v>
          </cell>
          <cell r="L297" t="str">
            <v>本システムの開発を行った会社が同システムの運用を行うものであり、他に競争を許さない（会計法第２９条の３第４項）。</v>
          </cell>
          <cell r="M297" t="str">
            <v>見直しの余地があるもの</v>
          </cell>
          <cell r="N297" t="str">
            <v>１８年度以降において当該事務・事業の委託等を行う予定のないもの</v>
          </cell>
          <cell r="P297" t="str">
            <v>民×</v>
          </cell>
          <cell r="Q297" t="str">
            <v>民</v>
          </cell>
          <cell r="S297" t="str">
            <v>民18×</v>
          </cell>
          <cell r="U297" t="str">
            <v>民</v>
          </cell>
          <cell r="W297" t="str">
            <v>×</v>
          </cell>
          <cell r="AA297">
            <v>1700304</v>
          </cell>
          <cell r="AB297">
            <v>1</v>
          </cell>
          <cell r="AD297" t="str">
            <v>無指定</v>
          </cell>
          <cell r="AE297" t="str">
            <v>報内</v>
          </cell>
          <cell r="AF297" t="str">
            <v>会計課調達室／サービス調達第１班</v>
          </cell>
          <cell r="AG297" t="str">
            <v>村松</v>
          </cell>
        </row>
        <row r="298">
          <cell r="A298" t="str">
            <v>民226</v>
          </cell>
          <cell r="B298">
            <v>532</v>
          </cell>
          <cell r="C298" t="str">
            <v>ｶﾌﾞﾁｭｳ</v>
          </cell>
          <cell r="E298">
            <v>226</v>
          </cell>
          <cell r="F298" t="str">
            <v>株式会社中央公論新社</v>
          </cell>
          <cell r="G298" t="str">
            <v>東京都中央区京橋２－８－７</v>
          </cell>
          <cell r="H298" t="str">
            <v>「中央公論」広告誌面買上契約</v>
          </cell>
          <cell r="I298" t="str">
            <v xml:space="preserve">
外務省大臣官房会計課長　上月豊久
東京都千代田区霞が関２－２－１</v>
          </cell>
          <cell r="J298">
            <v>38443</v>
          </cell>
          <cell r="K298">
            <v>4410000</v>
          </cell>
          <cell r="L298" t="str">
            <v>契約目的に鑑み、本件契約相手先以外に履行可能な業者が無い（会計法第２９条の３第４項）。</v>
          </cell>
          <cell r="M298" t="str">
            <v>その他のもの</v>
          </cell>
          <cell r="N298" t="str">
            <v>随意契約によらざるを得ないもの</v>
          </cell>
          <cell r="P298" t="str">
            <v>民×</v>
          </cell>
          <cell r="Q298" t="str">
            <v>民</v>
          </cell>
          <cell r="S298" t="str">
            <v>民1</v>
          </cell>
          <cell r="U298" t="str">
            <v>民</v>
          </cell>
          <cell r="V298" t="str">
            <v>●</v>
          </cell>
          <cell r="AA298">
            <v>1700353</v>
          </cell>
          <cell r="AB298">
            <v>1</v>
          </cell>
          <cell r="AC298" t="str">
            <v>17X006</v>
          </cell>
          <cell r="AD298" t="str">
            <v>無指定</v>
          </cell>
          <cell r="AE298" t="str">
            <v>報内</v>
          </cell>
          <cell r="AF298" t="str">
            <v>会計課調達室／物品調達班</v>
          </cell>
          <cell r="AG298" t="str">
            <v>宮田</v>
          </cell>
          <cell r="AI298" t="str">
            <v>（H20.01.26回答)
行政目的を達成するために不可欠な業務の提供を受けるもの</v>
          </cell>
          <cell r="AJ298" t="str">
            <v>(H21.01.26回答）
ニ（ヘ）に準ずる</v>
          </cell>
        </row>
        <row r="299">
          <cell r="A299" t="str">
            <v>民227</v>
          </cell>
          <cell r="B299">
            <v>533</v>
          </cell>
          <cell r="C299" t="str">
            <v>ｶﾌﾞｼﾞｬﾊﾟﾝｴｺｰ</v>
          </cell>
          <cell r="E299">
            <v>227</v>
          </cell>
          <cell r="F299" t="str">
            <v>株式会社ジャパンエコー社</v>
          </cell>
          <cell r="G299" t="str">
            <v>東京都千代田区平河町１－３－１３</v>
          </cell>
          <cell r="H299" t="str">
            <v>総理及び外務大臣外国訪問新聞切り抜きサービス単価契約</v>
          </cell>
          <cell r="I299" t="str">
            <v>外務省大臣官房会計課長　上月豊久　東京都千代田区霞が関２－２－１</v>
          </cell>
          <cell r="J299">
            <v>38443</v>
          </cell>
          <cell r="K299">
            <v>2086645</v>
          </cell>
          <cell r="L299" t="str">
            <v>週末、祝日に本件契約内容を履行可能で、十分な経験を有している業者は契約相手先以外に見あたらないことから、他に競争を許さない（会計法第２９条の３第４項）。</v>
          </cell>
          <cell r="M299" t="str">
            <v>見直しの余地があるもの</v>
          </cell>
          <cell r="N299" t="str">
            <v>競争入札に移行（１８年度から）</v>
          </cell>
          <cell r="O299" t="str">
            <v>単価契約</v>
          </cell>
          <cell r="P299" t="str">
            <v>民×</v>
          </cell>
          <cell r="Q299" t="str">
            <v>民</v>
          </cell>
          <cell r="S299" t="str">
            <v>民18①</v>
          </cell>
          <cell r="U299" t="str">
            <v>民</v>
          </cell>
          <cell r="W299" t="str">
            <v>①</v>
          </cell>
          <cell r="AA299">
            <v>1700074</v>
          </cell>
          <cell r="AB299">
            <v>1</v>
          </cell>
          <cell r="AC299" t="str">
            <v>17X146</v>
          </cell>
          <cell r="AD299" t="str">
            <v>無指定</v>
          </cell>
          <cell r="AE299" t="str">
            <v>報報</v>
          </cell>
          <cell r="AF299" t="str">
            <v>会計課調達室／サービス調達第１班</v>
          </cell>
          <cell r="AG299" t="str">
            <v>村松</v>
          </cell>
        </row>
        <row r="300">
          <cell r="A300" t="str">
            <v>民228</v>
          </cell>
          <cell r="B300">
            <v>534</v>
          </cell>
          <cell r="C300" t="str">
            <v>ﾕｳｹﾞﾝｶﾞｲｺｳ</v>
          </cell>
          <cell r="E300">
            <v>228</v>
          </cell>
          <cell r="F300" t="str">
            <v>有限会社外交ニューズサービス</v>
          </cell>
          <cell r="G300" t="str">
            <v>東京都杉並区宮前４－３１－３</v>
          </cell>
          <cell r="H300" t="str">
            <v>「今日の朝刊」作成契約</v>
          </cell>
          <cell r="I300" t="str">
            <v>外務省大臣官房会計課長　上月豊久　東京都千代田区霞が関２－２－１</v>
          </cell>
          <cell r="J300">
            <v>38443</v>
          </cell>
          <cell r="K300">
            <v>9037801</v>
          </cell>
          <cell r="L300" t="str">
            <v>主要６紙の報道振りを短く的確に纏め、且つ特定の報道機関に偏らない執務参考用資料を作成できる業者は他に見あたらない（会計法第２９条の３第４項）。</v>
          </cell>
          <cell r="M300" t="str">
            <v>見直しの余地があるもの</v>
          </cell>
          <cell r="N300" t="str">
            <v>競争入札に移行（１８年度から）</v>
          </cell>
          <cell r="P300" t="str">
            <v>民×</v>
          </cell>
          <cell r="Q300" t="str">
            <v>民</v>
          </cell>
          <cell r="S300" t="str">
            <v>民18①</v>
          </cell>
          <cell r="U300" t="str">
            <v>民</v>
          </cell>
          <cell r="W300" t="str">
            <v>①</v>
          </cell>
          <cell r="AA300">
            <v>1700072</v>
          </cell>
          <cell r="AB300">
            <v>1</v>
          </cell>
          <cell r="AC300" t="str">
            <v>17X097</v>
          </cell>
          <cell r="AD300" t="str">
            <v>無指定</v>
          </cell>
          <cell r="AE300" t="str">
            <v>報報</v>
          </cell>
          <cell r="AF300" t="str">
            <v>会計課調達室／サービス調達第１班</v>
          </cell>
          <cell r="AG300" t="str">
            <v>村松</v>
          </cell>
        </row>
        <row r="301">
          <cell r="A301" t="str">
            <v>民229</v>
          </cell>
          <cell r="B301">
            <v>535</v>
          </cell>
          <cell r="C301" t="str">
            <v>ｶﾌﾞｼﾞｼﾞ</v>
          </cell>
          <cell r="E301">
            <v>229</v>
          </cell>
          <cell r="F301" t="str">
            <v>株式会社時事通信社</v>
          </cell>
          <cell r="G301" t="str">
            <v>東京都中央区銀座５－１５－８</v>
          </cell>
          <cell r="H301" t="str">
            <v>「外交関係重要発言詳報サービス」提供契約</v>
          </cell>
          <cell r="I301" t="str">
            <v>外務省大臣官房会計課長　上月豊久　東京都千代田区霞が関２－２－１</v>
          </cell>
          <cell r="J301">
            <v>38443</v>
          </cell>
          <cell r="K301">
            <v>9308640</v>
          </cell>
          <cell r="L301" t="str">
            <v>当方の求めるサービスを提供している業者は他になく、また、質の面から言えば同社は長年の経験と実績により迅速に情報収集を行いうる体制となっており、他に競争を許さない（会計法第２９条の３第４項）。</v>
          </cell>
          <cell r="M301" t="str">
            <v>見直しの余地があるもの</v>
          </cell>
          <cell r="N301" t="str">
            <v>競争入札に移行（１８年度から）</v>
          </cell>
          <cell r="P301" t="str">
            <v>民×</v>
          </cell>
          <cell r="Q301" t="str">
            <v>民</v>
          </cell>
          <cell r="S301" t="str">
            <v>民18①</v>
          </cell>
          <cell r="U301" t="str">
            <v>民</v>
          </cell>
          <cell r="W301" t="str">
            <v>①</v>
          </cell>
          <cell r="AA301">
            <v>1700080</v>
          </cell>
          <cell r="AB301">
            <v>1</v>
          </cell>
          <cell r="AC301" t="str">
            <v>17G010</v>
          </cell>
          <cell r="AD301" t="str">
            <v>無指定</v>
          </cell>
          <cell r="AE301" t="str">
            <v>報報</v>
          </cell>
          <cell r="AF301" t="str">
            <v>会計課調達室／サービス調達第１班</v>
          </cell>
          <cell r="AG301" t="str">
            <v>竹澤</v>
          </cell>
        </row>
        <row r="302">
          <cell r="A302" t="str">
            <v>民230</v>
          </cell>
          <cell r="B302">
            <v>536</v>
          </cell>
          <cell r="C302" t="str">
            <v>ﾌｼﾞﾌｨﾙﾑ</v>
          </cell>
          <cell r="E302">
            <v>230</v>
          </cell>
          <cell r="F302" t="str">
            <v>富士フイルムイメージテック株式会社</v>
          </cell>
          <cell r="G302" t="str">
            <v>東京都品川区五反田３－６－３０</v>
          </cell>
          <cell r="H302" t="str">
            <v>「公式記録写真」保存業務単価契約</v>
          </cell>
          <cell r="I302" t="str">
            <v>外務省大臣官房会計課長　上月豊久　東京都千代田区霞が関２－２－１</v>
          </cell>
          <cell r="J302">
            <v>38443</v>
          </cell>
          <cell r="K302">
            <v>3819060</v>
          </cell>
          <cell r="L302" t="str">
            <v>平成１５年度において行った一般競争入札により導入された公式写真データベース化業務。外務省の公式写真検索システムも本件契約先が開発したものであり、データの互換性を確保するためにも同社との契約は不可欠ある（会計法第２９条の３第４項）。</v>
          </cell>
          <cell r="M302" t="str">
            <v>見直しの余地があるもの</v>
          </cell>
          <cell r="N302" t="str">
            <v>競争入札に移行（１９年度から）</v>
          </cell>
          <cell r="O302" t="str">
            <v>単価契約</v>
          </cell>
          <cell r="P302" t="str">
            <v>民×</v>
          </cell>
          <cell r="Q302" t="str">
            <v>民</v>
          </cell>
          <cell r="S302" t="str">
            <v>民18①</v>
          </cell>
          <cell r="U302" t="str">
            <v>民</v>
          </cell>
          <cell r="W302" t="str">
            <v>①</v>
          </cell>
          <cell r="AA302">
            <v>1700312</v>
          </cell>
          <cell r="AB302">
            <v>1</v>
          </cell>
          <cell r="AD302" t="str">
            <v>無指定</v>
          </cell>
          <cell r="AE302" t="str">
            <v>報報</v>
          </cell>
          <cell r="AF302" t="str">
            <v>会計課調達室／サービス調達第１班</v>
          </cell>
          <cell r="AG302" t="str">
            <v>村松</v>
          </cell>
        </row>
        <row r="303">
          <cell r="A303" t="str">
            <v>民231</v>
          </cell>
          <cell r="B303">
            <v>537</v>
          </cell>
          <cell r="C303" t="str">
            <v>ｶﾌﾞｼﾞｼﾞ</v>
          </cell>
          <cell r="E303">
            <v>231</v>
          </cell>
          <cell r="F303" t="str">
            <v xml:space="preserve">株式会社時事通信社
</v>
          </cell>
          <cell r="G303" t="str">
            <v>東京都中央区銀座５－１５－８</v>
          </cell>
          <cell r="H303" t="str">
            <v>「時事通信社外国語・日本語ニュース」契約</v>
          </cell>
          <cell r="I303" t="str">
            <v>外務省大臣官房会計課長　上月豊久　東京都千代田区霞が関２－２－１</v>
          </cell>
          <cell r="J303">
            <v>38443</v>
          </cell>
          <cell r="K303">
            <v>261510480</v>
          </cell>
          <cell r="L303" t="str">
            <v>契約相手先が作成しているニュースの受信契約であり、他に競争を許さない（会計法第２９条の３第４項）。</v>
          </cell>
          <cell r="M303" t="str">
            <v>その他のもの</v>
          </cell>
          <cell r="N303" t="str">
            <v>随意契約によらざるを得ないもの</v>
          </cell>
          <cell r="P303" t="str">
            <v>民×</v>
          </cell>
          <cell r="Q303" t="str">
            <v>民</v>
          </cell>
          <cell r="S303" t="str">
            <v>民1</v>
          </cell>
          <cell r="U303" t="str">
            <v>民</v>
          </cell>
          <cell r="V303" t="str">
            <v>●</v>
          </cell>
          <cell r="AA303">
            <v>1700085</v>
          </cell>
          <cell r="AB303">
            <v>1</v>
          </cell>
          <cell r="AC303" t="str">
            <v>17Z115</v>
          </cell>
          <cell r="AD303" t="str">
            <v>無指定</v>
          </cell>
          <cell r="AE303" t="str">
            <v>報報</v>
          </cell>
          <cell r="AF303" t="str">
            <v>会計課調達室／サービス調達第１班</v>
          </cell>
          <cell r="AG303" t="str">
            <v>竹澤</v>
          </cell>
          <cell r="AI303" t="str">
            <v>行政目的を達成するために不可欠な情報の提供</v>
          </cell>
          <cell r="AJ303" t="str">
            <v>ニ（ヘ）</v>
          </cell>
        </row>
        <row r="304">
          <cell r="A304" t="str">
            <v>民232</v>
          </cell>
          <cell r="B304">
            <v>538</v>
          </cell>
          <cell r="C304" t="str">
            <v>ｶﾌﾞｼﾞｼﾞ</v>
          </cell>
          <cell r="E304">
            <v>232</v>
          </cell>
          <cell r="F304" t="str">
            <v>株式会社時事通信社</v>
          </cell>
          <cell r="G304" t="str">
            <v>東京都中央区銀座５－１５－８</v>
          </cell>
          <cell r="H304" t="str">
            <v>「時事通信社ゼネラルニュース」契約</v>
          </cell>
          <cell r="I304" t="str">
            <v>外務省大臣官房会計課長　上月豊久　東京都千代田区霞が関２－２－１</v>
          </cell>
          <cell r="J304">
            <v>38443</v>
          </cell>
          <cell r="K304">
            <v>8442000</v>
          </cell>
          <cell r="L304" t="str">
            <v>契約相手先が作成しているニュースの受信契約であり、他に競争を許さない（会計法第２９条の３第４項）。</v>
          </cell>
          <cell r="M304" t="str">
            <v>その他のもの</v>
          </cell>
          <cell r="N304" t="str">
            <v>随意契約によらざるを得ないもの</v>
          </cell>
          <cell r="P304" t="str">
            <v>民×</v>
          </cell>
          <cell r="Q304" t="str">
            <v>民</v>
          </cell>
          <cell r="S304" t="str">
            <v>民1</v>
          </cell>
          <cell r="U304" t="str">
            <v>民</v>
          </cell>
          <cell r="V304" t="str">
            <v>●</v>
          </cell>
          <cell r="AA304">
            <v>1700082</v>
          </cell>
          <cell r="AB304">
            <v>1</v>
          </cell>
          <cell r="AC304" t="str">
            <v>17S317</v>
          </cell>
          <cell r="AD304" t="str">
            <v>無指定</v>
          </cell>
          <cell r="AE304" t="str">
            <v>報報</v>
          </cell>
          <cell r="AF304" t="str">
            <v>会計課調達室／サービス調達第１班</v>
          </cell>
          <cell r="AG304" t="str">
            <v>竹澤</v>
          </cell>
          <cell r="AI304" t="str">
            <v>行政目的を達成するために不可欠な情報の提供</v>
          </cell>
          <cell r="AJ304" t="str">
            <v>ニ（ヘ）</v>
          </cell>
        </row>
        <row r="305">
          <cell r="A305" t="str">
            <v>民233</v>
          </cell>
          <cell r="B305">
            <v>539</v>
          </cell>
          <cell r="C305" t="str">
            <v>ｼｬﾀﾞﾝｷｮｳﾄﾞｳ</v>
          </cell>
          <cell r="E305">
            <v>233</v>
          </cell>
          <cell r="F305" t="str">
            <v>社団法人共同通信社</v>
          </cell>
          <cell r="G305" t="str">
            <v>東京都港区虎ノ門２－２－５</v>
          </cell>
          <cell r="H305" t="str">
            <v>「共同通信社外国語・日本語ニュース」契約</v>
          </cell>
          <cell r="I305" t="str">
            <v>外務省大臣官房会計課長　上月豊久　東京都千代田区霞が関２－２－１</v>
          </cell>
          <cell r="J305">
            <v>38443</v>
          </cell>
          <cell r="K305">
            <v>245126700</v>
          </cell>
          <cell r="L305" t="str">
            <v>契約相手先が作成しているニュースの受信契約であり、他に競争を許さない（会計法第２９条の３第４項）。</v>
          </cell>
          <cell r="M305" t="str">
            <v>その他のもの</v>
          </cell>
          <cell r="N305" t="str">
            <v>随意契約によらざるを得ないもの</v>
          </cell>
          <cell r="P305" t="str">
            <v>民×</v>
          </cell>
          <cell r="Q305" t="str">
            <v>民</v>
          </cell>
          <cell r="S305" t="str">
            <v>民1</v>
          </cell>
          <cell r="U305" t="str">
            <v>民</v>
          </cell>
          <cell r="V305" t="str">
            <v>●</v>
          </cell>
          <cell r="AA305">
            <v>1700635</v>
          </cell>
          <cell r="AB305">
            <v>1</v>
          </cell>
          <cell r="AD305" t="str">
            <v>無指定</v>
          </cell>
          <cell r="AE305" t="str">
            <v>報報</v>
          </cell>
          <cell r="AF305" t="str">
            <v>会計課調達室／サービス調達第１班</v>
          </cell>
          <cell r="AG305" t="str">
            <v>村松</v>
          </cell>
          <cell r="AI305" t="str">
            <v>行政目的を達成するために不可欠な情報の提供</v>
          </cell>
          <cell r="AJ305" t="str">
            <v>ニ（ヘ）</v>
          </cell>
        </row>
        <row r="306">
          <cell r="A306" t="str">
            <v>民234</v>
          </cell>
          <cell r="B306">
            <v>540</v>
          </cell>
          <cell r="C306" t="str">
            <v>ｼｬﾀﾞﾝｷｮｳﾄﾞｳ</v>
          </cell>
          <cell r="E306">
            <v>234</v>
          </cell>
          <cell r="F306" t="str">
            <v>社団法人共同通信社</v>
          </cell>
          <cell r="G306" t="str">
            <v>東京都港区東新橋１－７－１</v>
          </cell>
          <cell r="H306" t="str">
            <v>「共同通信社ゼネラルニュース」情報</v>
          </cell>
          <cell r="I306" t="str">
            <v>外務省大臣官房会計課長　上月豊久　東京都千代田区霞が関２－２－１</v>
          </cell>
          <cell r="J306">
            <v>38443</v>
          </cell>
          <cell r="K306">
            <v>11529000</v>
          </cell>
          <cell r="L306" t="str">
            <v>契約相手先が作成しているニュースの受信契約であり、他に競争を許さない（会計法第２９条の３第４項）。</v>
          </cell>
          <cell r="M306" t="str">
            <v>その他のもの</v>
          </cell>
          <cell r="N306" t="str">
            <v>随意契約によらざるを得ないもの</v>
          </cell>
          <cell r="P306" t="str">
            <v>民×</v>
          </cell>
          <cell r="Q306" t="str">
            <v>民</v>
          </cell>
          <cell r="S306" t="str">
            <v>民1</v>
          </cell>
          <cell r="U306" t="str">
            <v>民</v>
          </cell>
          <cell r="V306" t="str">
            <v>●</v>
          </cell>
          <cell r="AA306">
            <v>1700570</v>
          </cell>
          <cell r="AB306">
            <v>1</v>
          </cell>
          <cell r="AD306" t="str">
            <v>無指定</v>
          </cell>
          <cell r="AE306" t="str">
            <v>報報</v>
          </cell>
          <cell r="AF306" t="str">
            <v>会計課調達室／サービス調達第１班</v>
          </cell>
          <cell r="AG306" t="str">
            <v>村松</v>
          </cell>
          <cell r="AI306" t="str">
            <v>行政目的を達成するために不可欠な情報の提供</v>
          </cell>
          <cell r="AJ306" t="str">
            <v>ニ（ヘ）</v>
          </cell>
        </row>
        <row r="307">
          <cell r="A307" t="str">
            <v>民235</v>
          </cell>
          <cell r="B307">
            <v>541</v>
          </cell>
          <cell r="C307" t="str">
            <v>ｶﾌﾞｷｮｳ</v>
          </cell>
          <cell r="E307">
            <v>235</v>
          </cell>
          <cell r="F307" t="str">
            <v>株式会社共同通信社</v>
          </cell>
          <cell r="G307" t="str">
            <v>東京都港区東新橋１－７－１　</v>
          </cell>
          <cell r="H307" t="str">
            <v>「共同通信社ニュースサマリー」契約</v>
          </cell>
          <cell r="I307" t="str">
            <v>外務省大臣官房会計課長　上月豊久　東京都千代田区霞が関２－２－１</v>
          </cell>
          <cell r="J307">
            <v>38443</v>
          </cell>
          <cell r="K307">
            <v>7969500</v>
          </cell>
          <cell r="L307" t="str">
            <v>契約相手先が作成しているニュースサマリーの購入契約であり、他に競争を許さない（会計法第２９条の３第４項）。</v>
          </cell>
          <cell r="M307" t="str">
            <v>その他のもの</v>
          </cell>
          <cell r="N307" t="str">
            <v>随意契約によらざるを得ないもの</v>
          </cell>
          <cell r="P307" t="str">
            <v>民×</v>
          </cell>
          <cell r="Q307" t="str">
            <v>民</v>
          </cell>
          <cell r="S307" t="str">
            <v>民1</v>
          </cell>
          <cell r="U307" t="str">
            <v>民</v>
          </cell>
          <cell r="V307" t="str">
            <v>●</v>
          </cell>
          <cell r="AA307">
            <v>1700640</v>
          </cell>
          <cell r="AB307">
            <v>1</v>
          </cell>
          <cell r="AD307" t="str">
            <v>無指定</v>
          </cell>
          <cell r="AE307" t="str">
            <v>報報</v>
          </cell>
          <cell r="AF307" t="str">
            <v>会計課調達室／サービス調達第１班</v>
          </cell>
          <cell r="AG307" t="str">
            <v>村松</v>
          </cell>
        </row>
        <row r="308">
          <cell r="A308" t="str">
            <v>民236</v>
          </cell>
          <cell r="B308">
            <v>542</v>
          </cell>
          <cell r="C308" t="str">
            <v>ｼｬﾀﾞﾝｷｮｳﾄﾞｳ</v>
          </cell>
          <cell r="E308">
            <v>236</v>
          </cell>
          <cell r="F308" t="str">
            <v>社団法人共同通信社</v>
          </cell>
          <cell r="G308" t="str">
            <v>東京都港区虎ノ門２－２－５</v>
          </cell>
          <cell r="H308" t="str">
            <v>「共同通信社音声ニュース」契約</v>
          </cell>
          <cell r="I308" t="str">
            <v>外務省大臣官房会計課長　上月豊久　東京都千代田区霞が関２－２－１</v>
          </cell>
          <cell r="J308">
            <v>38443</v>
          </cell>
          <cell r="K308">
            <v>5040000</v>
          </cell>
          <cell r="L308" t="str">
            <v>契約相手先が作成しているニュースの受信契約であり、他に競争を許さない（会計法第２９条の３第４項）。</v>
          </cell>
          <cell r="M308" t="str">
            <v>その他のもの</v>
          </cell>
          <cell r="N308" t="str">
            <v>随意契約によらざるを得ないもの</v>
          </cell>
          <cell r="P308" t="str">
            <v>民×</v>
          </cell>
          <cell r="Q308" t="str">
            <v>民</v>
          </cell>
          <cell r="S308" t="str">
            <v>民1</v>
          </cell>
          <cell r="U308" t="str">
            <v>民</v>
          </cell>
          <cell r="V308" t="str">
            <v>●</v>
          </cell>
          <cell r="AA308">
            <v>1700638</v>
          </cell>
          <cell r="AB308">
            <v>1</v>
          </cell>
          <cell r="AD308" t="str">
            <v>無指定</v>
          </cell>
          <cell r="AE308" t="str">
            <v>報報</v>
          </cell>
          <cell r="AF308" t="str">
            <v>会計課調達室／サービス調達第１班</v>
          </cell>
          <cell r="AG308" t="str">
            <v>村松</v>
          </cell>
          <cell r="AI308" t="str">
            <v>行政目的を達成するために不可欠な情報の提供</v>
          </cell>
          <cell r="AJ308" t="str">
            <v>ニ（ヘ）</v>
          </cell>
        </row>
        <row r="309">
          <cell r="A309" t="str">
            <v>民237</v>
          </cell>
          <cell r="B309">
            <v>543</v>
          </cell>
          <cell r="C309" t="str">
            <v>ｶﾌﾞｷｮｳ</v>
          </cell>
          <cell r="E309">
            <v>237</v>
          </cell>
          <cell r="F309" t="str">
            <v>株式会社共同通信社</v>
          </cell>
          <cell r="G309" t="str">
            <v>東京都港区東新橋１－７－１　</v>
          </cell>
          <cell r="H309" t="str">
            <v>「共同通信社ニュース・サマリー（日曜テレビ版）」作成契約</v>
          </cell>
          <cell r="I309" t="str">
            <v>外務省大臣官房会計課長　上月豊久　東京都千代田区霞が関２－２－１</v>
          </cell>
          <cell r="J309">
            <v>38443</v>
          </cell>
          <cell r="K309">
            <v>4864860</v>
          </cell>
          <cell r="L309" t="str">
            <v>契約相手先が作成しているニュースの受信契約であり、他に競争を許さない（会計法第２９条の３第４項）。</v>
          </cell>
          <cell r="M309" t="str">
            <v>その他のもの</v>
          </cell>
          <cell r="N309" t="str">
            <v>随意契約によらざるを得ないもの</v>
          </cell>
          <cell r="P309" t="str">
            <v>民×</v>
          </cell>
          <cell r="Q309" t="str">
            <v>民</v>
          </cell>
          <cell r="S309" t="str">
            <v>民1</v>
          </cell>
          <cell r="U309" t="str">
            <v>民</v>
          </cell>
          <cell r="V309" t="str">
            <v>●</v>
          </cell>
          <cell r="AA309">
            <v>1700569</v>
          </cell>
          <cell r="AB309">
            <v>1</v>
          </cell>
          <cell r="AD309" t="str">
            <v>無指定</v>
          </cell>
          <cell r="AE309" t="str">
            <v>報報</v>
          </cell>
          <cell r="AF309" t="str">
            <v>会計課調達室／サービス調達第１班</v>
          </cell>
          <cell r="AG309" t="str">
            <v>村松</v>
          </cell>
        </row>
        <row r="310">
          <cell r="A310" t="str">
            <v>民238</v>
          </cell>
          <cell r="B310">
            <v>544</v>
          </cell>
          <cell r="C310" t="str">
            <v>ｶﾌﾞｴｲ</v>
          </cell>
          <cell r="E310">
            <v>238</v>
          </cell>
          <cell r="F310" t="str">
            <v>株式会社衛星チャンネル</v>
          </cell>
          <cell r="G310" t="str">
            <v>東京都中央区築地５－３－２</v>
          </cell>
          <cell r="H310" t="str">
            <v>「朝日ニュースター」受信契約</v>
          </cell>
          <cell r="I310" t="str">
            <v>外務省大臣官房会計課長　上月豊久　東京都千代田区霞が関２－２－１</v>
          </cell>
          <cell r="J310">
            <v>38443</v>
          </cell>
          <cell r="K310">
            <v>1260000</v>
          </cell>
          <cell r="L310" t="str">
            <v>朝日ニュースターの番組を配信している会社との契約であり、他に競争を許さない（会計法第２９条の３第４項）。</v>
          </cell>
          <cell r="M310" t="str">
            <v>その他のもの</v>
          </cell>
          <cell r="N310" t="str">
            <v>随意契約によらざるを得ないもの</v>
          </cell>
          <cell r="P310" t="str">
            <v>民×</v>
          </cell>
          <cell r="Q310" t="str">
            <v>民</v>
          </cell>
          <cell r="S310" t="str">
            <v>民1</v>
          </cell>
          <cell r="U310" t="str">
            <v>民</v>
          </cell>
          <cell r="V310" t="str">
            <v>●</v>
          </cell>
          <cell r="AA310">
            <v>1700197</v>
          </cell>
          <cell r="AB310">
            <v>1</v>
          </cell>
          <cell r="AC310" t="str">
            <v>17S017</v>
          </cell>
          <cell r="AD310" t="str">
            <v>無指定</v>
          </cell>
          <cell r="AE310" t="str">
            <v>報報</v>
          </cell>
          <cell r="AF310" t="str">
            <v>会計課調達室／物品調達班</v>
          </cell>
          <cell r="AG310" t="str">
            <v>宮田</v>
          </cell>
        </row>
        <row r="311">
          <cell r="A311" t="str">
            <v>民239</v>
          </cell>
          <cell r="B311">
            <v>545</v>
          </cell>
          <cell r="C311" t="str">
            <v>ｶﾌﾞﾃﾞﾝ</v>
          </cell>
          <cell r="E311">
            <v>239</v>
          </cell>
          <cell r="F311" t="str">
            <v>株式会社電通</v>
          </cell>
          <cell r="G311" t="str">
            <v>東京都港区東新橋１－８－１</v>
          </cell>
          <cell r="H311" t="str">
            <v>外務省関連記事のクリッピングサービス（ＥＬネット）単価契約</v>
          </cell>
          <cell r="I311" t="str">
            <v>外務省大臣官房会計課長　上月豊久　東京都千代田区霞が関２－２－１</v>
          </cell>
          <cell r="J311">
            <v>38443</v>
          </cell>
          <cell r="K311">
            <v>9360000</v>
          </cell>
          <cell r="L311" t="str">
            <v>本件データベースの運営・情報提供を行っている会社との契約であり、他に競争を許さない（会計法第２９条３第４項）。</v>
          </cell>
          <cell r="M311" t="str">
            <v>その他のもの</v>
          </cell>
          <cell r="N311" t="str">
            <v>随意契約によらざるを得ないもの</v>
          </cell>
          <cell r="O311" t="str">
            <v>単価契約</v>
          </cell>
          <cell r="P311" t="str">
            <v>民×</v>
          </cell>
          <cell r="Q311" t="str">
            <v>民</v>
          </cell>
          <cell r="S311" t="str">
            <v>民1</v>
          </cell>
          <cell r="U311" t="str">
            <v>民</v>
          </cell>
          <cell r="V311" t="str">
            <v>●</v>
          </cell>
          <cell r="AA311" t="str">
            <v>1700065　　　他7件</v>
          </cell>
          <cell r="AB311">
            <v>1</v>
          </cell>
          <cell r="AC311" t="str">
            <v>17X145</v>
          </cell>
          <cell r="AD311" t="str">
            <v>無指定</v>
          </cell>
          <cell r="AE311" t="str">
            <v>亜東１</v>
          </cell>
          <cell r="AF311" t="str">
            <v>会計課調達室／サービス調達第１班</v>
          </cell>
          <cell r="AG311" t="str">
            <v>村松</v>
          </cell>
        </row>
        <row r="312">
          <cell r="A312" t="str">
            <v>民240</v>
          </cell>
          <cell r="B312">
            <v>546</v>
          </cell>
          <cell r="C312" t="str">
            <v>ｶﾌﾞﾃﾞﾝ</v>
          </cell>
          <cell r="E312">
            <v>240</v>
          </cell>
          <cell r="F312" t="str">
            <v>株式会社電通</v>
          </cell>
          <cell r="G312" t="str">
            <v>東京都港区東新橋１－８－１</v>
          </cell>
          <cell r="H312" t="str">
            <v>外務省関連記事のクリッピングサービス（ＥＬネット）の単価契約</v>
          </cell>
          <cell r="I312" t="str">
            <v>外務省大臣官房会計課長　上月豊久　東京都千代田区霞が関２－２－１</v>
          </cell>
          <cell r="J312">
            <v>38443</v>
          </cell>
          <cell r="K312">
            <v>1284000</v>
          </cell>
          <cell r="L312" t="str">
            <v>本件データベースの運営・情報提供を行っている会社との契約であり、他に競争を許さない（会計法第２９条３第４項）。</v>
          </cell>
          <cell r="M312" t="str">
            <v>その他のもの</v>
          </cell>
          <cell r="N312" t="str">
            <v>随意契約によらざるを得ないもの</v>
          </cell>
          <cell r="O312" t="str">
            <v>単価契約</v>
          </cell>
          <cell r="P312" t="str">
            <v>民×</v>
          </cell>
          <cell r="Q312" t="str">
            <v>民</v>
          </cell>
          <cell r="S312" t="str">
            <v>民1</v>
          </cell>
          <cell r="U312" t="str">
            <v>民</v>
          </cell>
          <cell r="V312" t="str">
            <v>●</v>
          </cell>
          <cell r="AA312" t="str">
            <v>1700065　　　他7件</v>
          </cell>
          <cell r="AB312">
            <v>1</v>
          </cell>
          <cell r="AC312" t="str">
            <v>17X145</v>
          </cell>
          <cell r="AD312" t="str">
            <v>無指定</v>
          </cell>
          <cell r="AE312" t="str">
            <v>亜東１</v>
          </cell>
          <cell r="AF312" t="str">
            <v>会計課調達室／サービス調達第１班</v>
          </cell>
          <cell r="AG312" t="str">
            <v>村松</v>
          </cell>
        </row>
        <row r="313">
          <cell r="A313" t="str">
            <v>民241</v>
          </cell>
          <cell r="B313">
            <v>547</v>
          </cell>
          <cell r="C313" t="str">
            <v>ｿｳｹｲ</v>
          </cell>
          <cell r="E313">
            <v>241</v>
          </cell>
          <cell r="F313" t="str">
            <v>綜警常駐警備株式会社</v>
          </cell>
          <cell r="G313" t="str">
            <v>東京都千代田区内幸町１－３－３　</v>
          </cell>
          <cell r="H313" t="str">
            <v>沖縄事務所警備委嘱契約</v>
          </cell>
          <cell r="I313" t="str">
            <v>外務省大臣官房会計課長　上月豊久　東京都千代田区霞が関２－２－１</v>
          </cell>
          <cell r="J313">
            <v>38443</v>
          </cell>
          <cell r="K313">
            <v>5544000</v>
          </cell>
          <cell r="L313" t="str">
            <v>同事務所には契約相手先の警備システムが配備されており、技術的な理由及び連携を考慮すれば、同社との契約が最も有効であることから他に競争を許さない（会計法第２９条の３第４項）。</v>
          </cell>
          <cell r="M313" t="str">
            <v>見直しの余地があるもの</v>
          </cell>
          <cell r="N313" t="str">
            <v>競争入札に移行（平成１９年度より実施）</v>
          </cell>
          <cell r="P313" t="str">
            <v>民×</v>
          </cell>
          <cell r="Q313" t="str">
            <v>民</v>
          </cell>
          <cell r="S313" t="str">
            <v>民19①</v>
          </cell>
          <cell r="U313" t="str">
            <v>民</v>
          </cell>
          <cell r="X313" t="str">
            <v>①</v>
          </cell>
          <cell r="AA313">
            <v>1700173</v>
          </cell>
          <cell r="AB313">
            <v>1</v>
          </cell>
          <cell r="AC313" t="str">
            <v>17S126</v>
          </cell>
          <cell r="AD313" t="str">
            <v>無指定</v>
          </cell>
          <cell r="AE313" t="str">
            <v>北米地</v>
          </cell>
          <cell r="AF313" t="str">
            <v>会計課調達室／政府調達班</v>
          </cell>
          <cell r="AG313" t="str">
            <v>風戸</v>
          </cell>
        </row>
        <row r="314">
          <cell r="A314" t="str">
            <v>民242</v>
          </cell>
          <cell r="B314">
            <v>548</v>
          </cell>
          <cell r="C314" t="str">
            <v>ﾀﾞｲﾄﾞｳｶｻｲ</v>
          </cell>
          <cell r="E314">
            <v>242</v>
          </cell>
          <cell r="F314" t="str">
            <v>大同火災海上保険株式会社</v>
          </cell>
          <cell r="G314" t="str">
            <v>沖縄県那覇市久茂地１丁目１２－１</v>
          </cell>
          <cell r="H314" t="str">
            <v>「沖縄事務所建物」賃貸借契約</v>
          </cell>
          <cell r="I314" t="str">
            <v>外務省大臣官房会計課長　上月豊久　東京都千代田区霞が関２－２－１</v>
          </cell>
          <cell r="J314">
            <v>38443</v>
          </cell>
          <cell r="K314">
            <v>21373056</v>
          </cell>
          <cell r="L314" t="str">
            <v>契約目的、行政効率等を勘案すれば、契約物件に代替可能な物件は見あたらない事から他に競争を許さない（会計法第２９条の３第４項）。</v>
          </cell>
          <cell r="M314" t="str">
            <v>その他のもの</v>
          </cell>
          <cell r="N314" t="str">
            <v>随意契約によらざるを得ないもの</v>
          </cell>
          <cell r="P314" t="str">
            <v>民×</v>
          </cell>
          <cell r="Q314" t="str">
            <v>民</v>
          </cell>
          <cell r="S314" t="str">
            <v>民1</v>
          </cell>
          <cell r="U314" t="str">
            <v>民</v>
          </cell>
          <cell r="V314" t="str">
            <v>●</v>
          </cell>
          <cell r="AA314">
            <v>1700427</v>
          </cell>
          <cell r="AB314">
            <v>1</v>
          </cell>
          <cell r="AC314" t="str">
            <v>17Q138</v>
          </cell>
          <cell r="AD314" t="str">
            <v>無指定</v>
          </cell>
          <cell r="AE314" t="str">
            <v>北米地</v>
          </cell>
          <cell r="AF314" t="str">
            <v>会計課調達室／サービス調達第１班</v>
          </cell>
          <cell r="AG314" t="str">
            <v>村松</v>
          </cell>
          <cell r="AI314" t="str">
            <v>場所が限定される賃貸借その他業務</v>
          </cell>
          <cell r="AJ314" t="str">
            <v>ロ</v>
          </cell>
        </row>
        <row r="315">
          <cell r="A315" t="str">
            <v>民243</v>
          </cell>
          <cell r="B315">
            <v>549</v>
          </cell>
          <cell r="C315" t="str">
            <v>ｶﾌﾞｵｸﾄ</v>
          </cell>
          <cell r="E315">
            <v>243</v>
          </cell>
          <cell r="F315" t="str">
            <v>株式会社オクト</v>
          </cell>
          <cell r="G315" t="str">
            <v>沖縄県那覇市松山２－８－１７　</v>
          </cell>
          <cell r="H315" t="str">
            <v>「沖縄担当大使宿舎」賃貸借契約</v>
          </cell>
          <cell r="I315" t="str">
            <v>外務省大臣官房会計課長　上月豊久　東京都千代田区霞が関２－２－１</v>
          </cell>
          <cell r="J315">
            <v>38443</v>
          </cell>
          <cell r="K315">
            <v>2184000</v>
          </cell>
          <cell r="L315" t="str">
            <v>契約目的に鑑み、本件契約相手先以外に履行可能な業者が無い（会計法第２９条の３第４項）。</v>
          </cell>
          <cell r="M315" t="str">
            <v>その他のもの</v>
          </cell>
          <cell r="N315" t="str">
            <v>随意契約によらざるを得ないもの</v>
          </cell>
          <cell r="P315" t="str">
            <v>民×</v>
          </cell>
          <cell r="Q315" t="str">
            <v>民</v>
          </cell>
          <cell r="S315" t="str">
            <v>民1</v>
          </cell>
          <cell r="U315" t="str">
            <v>民</v>
          </cell>
          <cell r="V315" t="str">
            <v>●</v>
          </cell>
          <cell r="AA315">
            <v>1700404</v>
          </cell>
          <cell r="AB315">
            <v>1</v>
          </cell>
          <cell r="AC315" t="str">
            <v>17Q140</v>
          </cell>
          <cell r="AD315" t="str">
            <v>無指定</v>
          </cell>
          <cell r="AE315" t="str">
            <v>北米地</v>
          </cell>
          <cell r="AF315" t="str">
            <v>会計課調達室／サービス調達第１班</v>
          </cell>
          <cell r="AG315" t="str">
            <v>村松</v>
          </cell>
          <cell r="AI315" t="str">
            <v>場所が限定される賃貸借その他業務</v>
          </cell>
          <cell r="AJ315" t="str">
            <v>ロ</v>
          </cell>
        </row>
        <row r="316">
          <cell r="A316" t="str">
            <v>民244</v>
          </cell>
          <cell r="B316">
            <v>550</v>
          </cell>
          <cell r="C316" t="str">
            <v>ｶﾌﾞﾜﾝ</v>
          </cell>
          <cell r="E316">
            <v>244</v>
          </cell>
          <cell r="F316" t="str">
            <v>株式会社ワンビシアーカイブズ</v>
          </cell>
          <cell r="G316" t="str">
            <v>東京都中央区新川１－１７－２５</v>
          </cell>
          <cell r="H316" t="str">
            <v>旅券発給データ等の保管・集配単価契約</v>
          </cell>
          <cell r="I316" t="str">
            <v>外務省大臣官房会計課長　上月豊久　東京都千代田区霞が関２－２－１</v>
          </cell>
          <cell r="J316">
            <v>38443</v>
          </cell>
          <cell r="K316">
            <v>3241665</v>
          </cell>
          <cell r="L316" t="str">
            <v>本件契約目的を達成するために必要な各種業務資格を有し、これまでの業務履行業況も信頼、安全性の面からも問題なく他の業者との競争を許さない（会計法第２９条３第４項）。</v>
          </cell>
          <cell r="M316" t="str">
            <v>見直しの余地があるもの</v>
          </cell>
          <cell r="N316" t="str">
            <v>競争入札へ移行(平成１９年度実施予定）</v>
          </cell>
          <cell r="O316" t="str">
            <v>単価契約</v>
          </cell>
          <cell r="P316" t="str">
            <v>民×</v>
          </cell>
          <cell r="Q316" t="str">
            <v>民</v>
          </cell>
          <cell r="S316" t="str">
            <v>民19①</v>
          </cell>
          <cell r="U316" t="str">
            <v>民</v>
          </cell>
          <cell r="X316" t="str">
            <v>①</v>
          </cell>
          <cell r="AA316" t="str">
            <v>H18年4月</v>
          </cell>
          <cell r="AB316" t="str">
            <v>民</v>
          </cell>
          <cell r="AC316">
            <v>11</v>
          </cell>
        </row>
        <row r="317">
          <cell r="A317" t="str">
            <v>民245</v>
          </cell>
          <cell r="B317">
            <v>551</v>
          </cell>
          <cell r="C317" t="str">
            <v>ｶﾌﾞﾘﾝｶﾞﾊﾞﾝｸ</v>
          </cell>
          <cell r="E317">
            <v>245</v>
          </cell>
          <cell r="F317" t="str">
            <v>株式会社リンガバンク</v>
          </cell>
          <cell r="G317" t="str">
            <v>東京都港区西新橋３－１５－３</v>
          </cell>
          <cell r="H317" t="str">
            <v>政府要人の国際会議出席に係る通訳業務（※１２件）</v>
          </cell>
          <cell r="I317" t="str">
            <v>外務省大臣官房会計課長　上月豊久　東京都千代田区霞が関２－２－１</v>
          </cell>
          <cell r="J317">
            <v>38443</v>
          </cell>
          <cell r="K317">
            <v>28275710</v>
          </cell>
          <cell r="L317" t="str">
            <v>国際会議における政府要人の発言の重要性に鑑み、その同時通訳者は高い技術、専門性、公式通訳の豊富な経験に基づき、最も確実かつ適任な者を充てる必要があることから、該当する者を擁する同社と随意契約を行った（会計法第２９条の３第４項）。</v>
          </cell>
          <cell r="M317" t="str">
            <v>その他のもの</v>
          </cell>
          <cell r="N317" t="str">
            <v>随意契約によらざるを得ないもの</v>
          </cell>
          <cell r="O317" t="str">
            <v>全12件</v>
          </cell>
          <cell r="P317" t="str">
            <v>民×</v>
          </cell>
          <cell r="Q317" t="str">
            <v>民</v>
          </cell>
          <cell r="R317">
            <v>12</v>
          </cell>
          <cell r="S317" t="str">
            <v>民1</v>
          </cell>
          <cell r="U317" t="str">
            <v>民</v>
          </cell>
          <cell r="V317" t="str">
            <v>●</v>
          </cell>
          <cell r="AA317">
            <v>1700149</v>
          </cell>
          <cell r="AB317">
            <v>1</v>
          </cell>
          <cell r="AC317" t="str">
            <v>17G259</v>
          </cell>
          <cell r="AD317" t="str">
            <v>無指定</v>
          </cell>
          <cell r="AE317" t="str">
            <v>経政</v>
          </cell>
          <cell r="AF317" t="str">
            <v>会計課調達室／サービス調達第２班</v>
          </cell>
          <cell r="AG317" t="str">
            <v>和田</v>
          </cell>
          <cell r="AI317" t="str">
            <v>相手国との関係から業務の質を確保することについて特段の配慮を要するもの
行政目的を達成するために不可欠な業務を提供することが可能な者から提供を受けるもの</v>
          </cell>
          <cell r="AJ317" t="str">
            <v>ニ（ヘ）
に準ずる</v>
          </cell>
        </row>
        <row r="318">
          <cell r="A318" t="str">
            <v>民257</v>
          </cell>
          <cell r="B318">
            <v>563</v>
          </cell>
          <cell r="C318" t="str">
            <v>ｵｵｺｼﾃﾞﾝｼﾂｳｼﾝ</v>
          </cell>
          <cell r="E318">
            <v>257</v>
          </cell>
          <cell r="F318" t="str">
            <v>大興電子通信(株)</v>
          </cell>
          <cell r="G318" t="str">
            <v>東京都新宿区揚場町２－１</v>
          </cell>
          <cell r="H318" t="str">
            <v>次期旅券発給システムに係る保守一式</v>
          </cell>
          <cell r="I318" t="str">
            <v xml:space="preserve">
外務省大臣官房会計課長　上月豊久
東京都千代田区霞が関２－２－１</v>
          </cell>
          <cell r="J318">
            <v>38443</v>
          </cell>
          <cell r="K318">
            <v>8820000</v>
          </cell>
          <cell r="L318" t="str">
            <v>平成１６年度において一般競争入札の結果契約した案件の継続契約(会計法第２９条の３第４項、特定政令に該当）</v>
          </cell>
          <cell r="M318" t="str">
            <v>見直しの余地があるもの</v>
          </cell>
          <cell r="N318" t="str">
            <v>１８年度において当該事務・事業の委託を行わないもの</v>
          </cell>
          <cell r="P318" t="str">
            <v>民×</v>
          </cell>
          <cell r="Q318" t="str">
            <v>民</v>
          </cell>
          <cell r="S318" t="str">
            <v>民18×</v>
          </cell>
          <cell r="U318" t="str">
            <v>民</v>
          </cell>
          <cell r="W318" t="str">
            <v>×</v>
          </cell>
          <cell r="AA318">
            <v>1700344</v>
          </cell>
          <cell r="AB318">
            <v>1</v>
          </cell>
          <cell r="AC318" t="str">
            <v>17M068</v>
          </cell>
          <cell r="AD318" t="str">
            <v>無指定</v>
          </cell>
          <cell r="AE318" t="str">
            <v>領旅</v>
          </cell>
          <cell r="AF318" t="str">
            <v>会計課調達室／サービス調達第３班</v>
          </cell>
          <cell r="AG318" t="str">
            <v>西村</v>
          </cell>
        </row>
        <row r="319">
          <cell r="A319" t="str">
            <v>民258</v>
          </cell>
          <cell r="B319">
            <v>564</v>
          </cell>
          <cell r="C319" t="str">
            <v>ﾌｼﾞﾂｰｾﾝﾁｭﾘｰ</v>
          </cell>
          <cell r="E319">
            <v>258</v>
          </cell>
          <cell r="F319" t="str">
            <v>富士通株式会社／センチュリー・リーシング・システム株式会社</v>
          </cell>
          <cell r="G319" t="str">
            <v>東京都港区東新橋１－５－２／
東京都港区浜松町２－４－１</v>
          </cell>
          <cell r="H319" t="str">
            <v>旅券発給管理バックアップシステム一式の賃貸借</v>
          </cell>
          <cell r="I319" t="str">
            <v xml:space="preserve">
外務省大臣官房会計課長　上月豊久
東京都千代田区霞が関２－２－１</v>
          </cell>
          <cell r="J319">
            <v>38443</v>
          </cell>
          <cell r="K319">
            <v>86562000</v>
          </cell>
          <cell r="L319" t="str">
            <v>平成１６年度に一般競争入札（賃貸期間４８ヶ月。但し契約自体は単年度）で導入した同システム一式の継続契約（会計法第２９条の３第４項、特例政令に該当）。</v>
          </cell>
          <cell r="M319" t="str">
            <v>見直しの余地があるもの</v>
          </cell>
          <cell r="N319" t="str">
            <v>競争入札へ移行（平成２１年実施予定）</v>
          </cell>
          <cell r="P319" t="str">
            <v>民×</v>
          </cell>
          <cell r="Q319" t="str">
            <v>民</v>
          </cell>
          <cell r="S319" t="str">
            <v>民21①</v>
          </cell>
          <cell r="U319" t="str">
            <v>民</v>
          </cell>
          <cell r="Z319" t="str">
            <v>①</v>
          </cell>
          <cell r="AA319">
            <v>1700390</v>
          </cell>
          <cell r="AB319">
            <v>1</v>
          </cell>
          <cell r="AC319" t="str">
            <v>17M052</v>
          </cell>
          <cell r="AD319" t="str">
            <v>無指定</v>
          </cell>
          <cell r="AE319" t="str">
            <v>領旅</v>
          </cell>
          <cell r="AF319" t="str">
            <v>会計課調達室／サービス調達第３班</v>
          </cell>
          <cell r="AG319" t="str">
            <v>西村</v>
          </cell>
          <cell r="AI319" t="str">
            <v>平成21年度中にリース期限切れとなるため、平成21年度に一般競争入札により更新予定
(H21.1月26日調査回答）
平成21年度中にリース期限切れとなるため、平成21年度に一般競争入札による更新を予定していたが、更新に係る予算が認められなかったため、平成21年度は再リースにより現機器に係る契約を継続し、平成22年度予算にて再度更新経費を要求の上、当初予算が認められれば一般競争入札にて更新予定。</v>
          </cell>
          <cell r="AJ319" t="str">
            <v>平成21年度
(H21.1月26日調査回答）
平成22年度以降</v>
          </cell>
        </row>
        <row r="320">
          <cell r="A320" t="str">
            <v>民259</v>
          </cell>
          <cell r="B320">
            <v>565</v>
          </cell>
          <cell r="C320" t="str">
            <v>ｶﾌﾞﾄｳ</v>
          </cell>
          <cell r="E320">
            <v>259</v>
          </cell>
          <cell r="F320" t="str">
            <v>株式会社東芝</v>
          </cell>
          <cell r="G320" t="str">
            <v>東京都港区芝浦１－１－１</v>
          </cell>
          <cell r="H320" t="str">
            <v>旅券申請書画像ファイリングサーバー据付、賃貸借及び保守料（平成１６年度導入分）</v>
          </cell>
          <cell r="I320" t="str">
            <v xml:space="preserve">
外務省大臣官房会計課長　上月豊久
東京都千代田区霞が関２－２－１</v>
          </cell>
          <cell r="J320">
            <v>38443</v>
          </cell>
          <cell r="K320">
            <v>12205116</v>
          </cell>
          <cell r="L320" t="str">
            <v>平成１６年度に一般競争入札（賃貸期間平成２１年５月３１日まで。但し契約自体は単年度）で導入したサーバ機器の継続契約（会計法第２９条の３第４項、特例政令に該当）。</v>
          </cell>
          <cell r="M320" t="str">
            <v>見直しの余地があるもの</v>
          </cell>
          <cell r="N320" t="str">
            <v>競争入札へ移行（平成２１年実施予定）</v>
          </cell>
          <cell r="P320" t="str">
            <v>民×</v>
          </cell>
          <cell r="Q320" t="str">
            <v>民</v>
          </cell>
          <cell r="S320" t="str">
            <v>民21①</v>
          </cell>
          <cell r="U320" t="str">
            <v>民</v>
          </cell>
          <cell r="Z320" t="str">
            <v>①</v>
          </cell>
          <cell r="AA320">
            <v>1700206</v>
          </cell>
          <cell r="AB320">
            <v>1</v>
          </cell>
          <cell r="AC320" t="str">
            <v>17M023</v>
          </cell>
          <cell r="AD320" t="str">
            <v>無指定</v>
          </cell>
          <cell r="AE320" t="str">
            <v>領旅</v>
          </cell>
          <cell r="AF320" t="str">
            <v>会計課調達室／サービス調達第３班</v>
          </cell>
          <cell r="AG320" t="str">
            <v>西村</v>
          </cell>
          <cell r="AI320" t="str">
            <v>(H21.1月26日調査回答）
平成21年度中にリース期限切れとなるため、平成21年度に一般競争入札により更新予定。</v>
          </cell>
          <cell r="AJ320" t="str">
            <v>(H21.1月26日調査回答）
平成21年度</v>
          </cell>
        </row>
        <row r="321">
          <cell r="A321" t="str">
            <v>民260</v>
          </cell>
          <cell r="B321">
            <v>566</v>
          </cell>
          <cell r="C321" t="str">
            <v>ｴﾇﾃｨﾃｨｺﾐｭﾆｹ</v>
          </cell>
          <cell r="E321">
            <v>260</v>
          </cell>
          <cell r="F321" t="str">
            <v>エヌ・ティ・ティ・コミュニケーションズ株式会社　</v>
          </cell>
          <cell r="G321" t="str">
            <v>東京都千代田区内幸町１－１－６</v>
          </cell>
          <cell r="H321" t="str">
            <v>旅券申請システム一式の賃貸借・保守</v>
          </cell>
          <cell r="I321" t="str">
            <v xml:space="preserve">
外務省大臣官房会計課長　上月豊久
東京都千代田区霞が関２－２－１</v>
          </cell>
          <cell r="J321">
            <v>38443</v>
          </cell>
          <cell r="K321">
            <v>530460000</v>
          </cell>
          <cell r="L321" t="str">
            <v>平成１５年度に一般競争入札（期間平成２１年２月２８日まで。但し契約自体は単年度）で契約した本件業務の継続契約（会計法第２９条の３第４項号、特例政令に該当）。</v>
          </cell>
          <cell r="M321" t="str">
            <v>見直しの余地があるもの</v>
          </cell>
          <cell r="N321" t="str">
            <v>平成１８年１０月末をもって契約終了</v>
          </cell>
          <cell r="P321" t="str">
            <v>民×</v>
          </cell>
          <cell r="Q321" t="str">
            <v>民</v>
          </cell>
          <cell r="S321" t="str">
            <v>民18×</v>
          </cell>
          <cell r="U321" t="str">
            <v>民</v>
          </cell>
          <cell r="W321" t="str">
            <v>×</v>
          </cell>
          <cell r="AA321">
            <v>1700442</v>
          </cell>
          <cell r="AB321">
            <v>1</v>
          </cell>
          <cell r="AC321" t="str">
            <v>17M037</v>
          </cell>
          <cell r="AD321" t="str">
            <v>無指定</v>
          </cell>
          <cell r="AE321" t="str">
            <v>領旅</v>
          </cell>
          <cell r="AF321" t="str">
            <v>会計課調達室／サービス調達第３班</v>
          </cell>
          <cell r="AG321" t="str">
            <v>西村</v>
          </cell>
        </row>
        <row r="322">
          <cell r="A322" t="str">
            <v>民261</v>
          </cell>
          <cell r="B322">
            <v>567</v>
          </cell>
          <cell r="C322" t="str">
            <v>ｴﾇﾃｨﾃｨｺﾐｭﾆｹ</v>
          </cell>
          <cell r="E322">
            <v>261</v>
          </cell>
          <cell r="F322" t="str">
            <v>エヌ・ティ・ティ・コミュニケーションズ株式会社　</v>
          </cell>
          <cell r="G322" t="str">
            <v>東京都千代田区内幸町１－１－６</v>
          </cell>
          <cell r="H322" t="str">
            <v>旅券電子申請システム用ヘルプデスク業務</v>
          </cell>
          <cell r="I322" t="str">
            <v xml:space="preserve">
外務省大臣官房会計課長　上月豊久
東京都千代田区霞が関２－２－１</v>
          </cell>
          <cell r="J322">
            <v>38443</v>
          </cell>
          <cell r="K322">
            <v>52063200</v>
          </cell>
          <cell r="L322" t="str">
            <v>平成１６年度に一般競争入札（期間４８ヶ月。但し契約自体は単年度）で契約した本件業務の継続契約（会計法第２９条の３第４項、特例政令に該当）。</v>
          </cell>
          <cell r="M322" t="str">
            <v>見直しの余地があるもの</v>
          </cell>
          <cell r="N322" t="str">
            <v>平成１８年９月末をもって契約終了</v>
          </cell>
          <cell r="P322" t="str">
            <v>民×</v>
          </cell>
          <cell r="Q322" t="str">
            <v>民</v>
          </cell>
          <cell r="S322" t="str">
            <v>民18×</v>
          </cell>
          <cell r="U322" t="str">
            <v>民</v>
          </cell>
          <cell r="W322" t="str">
            <v>×</v>
          </cell>
          <cell r="AA322">
            <v>1700438</v>
          </cell>
          <cell r="AB322">
            <v>1</v>
          </cell>
          <cell r="AC322" t="str">
            <v>17M047</v>
          </cell>
          <cell r="AD322" t="str">
            <v>無指定</v>
          </cell>
          <cell r="AE322" t="str">
            <v>領旅</v>
          </cell>
          <cell r="AF322" t="str">
            <v>会計課調達室／サービス調達第３班</v>
          </cell>
          <cell r="AG322" t="str">
            <v>川上</v>
          </cell>
        </row>
        <row r="323">
          <cell r="A323" t="str">
            <v>民262</v>
          </cell>
          <cell r="B323">
            <v>568</v>
          </cell>
          <cell r="C323" t="str">
            <v>ﾋﾀﾁｲﾝﾀｰ</v>
          </cell>
          <cell r="E323">
            <v>262</v>
          </cell>
          <cell r="F323" t="str">
            <v>日立インターメディックス株式会社</v>
          </cell>
          <cell r="G323" t="str">
            <v>東京都千代田区神田錦町２－１－５</v>
          </cell>
          <cell r="H323" t="str">
            <v>「海外安全ホームページ」運営・管理業務委託契約</v>
          </cell>
          <cell r="I323" t="str">
            <v xml:space="preserve">
外務省大臣官房会計課長　上月豊久
東京都千代田区霞が関２－２－１</v>
          </cell>
          <cell r="J323">
            <v>38443</v>
          </cell>
          <cell r="K323">
            <v>46392570</v>
          </cell>
          <cell r="L323" t="str">
            <v>現在稼働中のシステムの運用・管理を同システムの開発業者である契約相手先に委託するものであり、業務効率・費用面から考えて他に競争を許さない（会計法第２９条の３第４項、特例政令に該当）。</v>
          </cell>
          <cell r="M323" t="str">
            <v>見直しの余地があるもの</v>
          </cell>
          <cell r="N323" t="str">
            <v>平成２０年度中に予定されているホームページの統合以降は当該業務の委託は行わない</v>
          </cell>
          <cell r="P323" t="str">
            <v>民×</v>
          </cell>
          <cell r="Q323" t="str">
            <v>民</v>
          </cell>
          <cell r="S323" t="str">
            <v>民20×</v>
          </cell>
          <cell r="U323" t="str">
            <v>民</v>
          </cell>
          <cell r="Y323" t="str">
            <v>×</v>
          </cell>
          <cell r="AA323">
            <v>1700402</v>
          </cell>
          <cell r="AB323">
            <v>1</v>
          </cell>
          <cell r="AD323" t="str">
            <v>無指定</v>
          </cell>
          <cell r="AE323" t="str">
            <v>領安</v>
          </cell>
          <cell r="AF323" t="str">
            <v>会計課調達室／サービス調達第１班</v>
          </cell>
          <cell r="AG323" t="str">
            <v>村松</v>
          </cell>
          <cell r="AI323" t="str">
            <v>システム最適化計画により、外務省ホームページ及び海外安全ホームページをはじめとする省内の複数のサーバを平成２０年３月末までに統合し、全く新たなシステム構築を行うこととしていたが、海外安全ホームページについては、システムが複雑であり、また、十分な移行準備期間の確保が困難であったことから、新たに移行準備期間を設け、平成２２年度を目標として統合を図る予定である。このため、統合までの間に敢えて新たな業者に業務を委託することは合理性に乏しく、暫定的なホームページ維持に対して多大なシステム構築費を要することとなり、結果的に「システム最適化」に向けての取組に支障を来すことになる。</v>
          </cell>
          <cell r="AJ323" t="str">
            <v>平成２２年度</v>
          </cell>
        </row>
        <row r="324">
          <cell r="A324" t="str">
            <v>民263</v>
          </cell>
          <cell r="B324">
            <v>569</v>
          </cell>
          <cell r="C324" t="str">
            <v>ﾌｼﾞﾂｰｾﾝﾁｭﾘｰ</v>
          </cell>
          <cell r="E324">
            <v>263</v>
          </cell>
          <cell r="F324" t="str">
            <v>富士通株式会社／センチュリー・リーシング・システム株式会社</v>
          </cell>
          <cell r="G324" t="str">
            <v>東京都港区東新橋１－５－２／
東京都港区浜松町２－４－１</v>
          </cell>
          <cell r="H324" t="str">
            <v>「海外安全情報検索システム」機器の賃貸借・保守委託契約</v>
          </cell>
          <cell r="I324" t="str">
            <v xml:space="preserve">
外務省大臣官房会計課長　上月豊久
東京都千代田区霞が関２－２－１</v>
          </cell>
          <cell r="J324">
            <v>38443</v>
          </cell>
          <cell r="K324">
            <v>5301870</v>
          </cell>
          <cell r="L324" t="str">
            <v>本件システムの開発業者が、自社製品やカスタマイズされた独自の機器上で作動する事を前提にプログラム開発しており、これ以外の端末機器の利用は行えないことから他に競争を許さない（会計法第２９条の３第４項）。</v>
          </cell>
          <cell r="M324" t="str">
            <v>見直しの余地があるもの</v>
          </cell>
          <cell r="N324" t="str">
            <v>１８年度以降において当該事務・事業の委託等を行う予定のないもの</v>
          </cell>
          <cell r="P324" t="str">
            <v>民×</v>
          </cell>
          <cell r="Q324" t="str">
            <v>民</v>
          </cell>
          <cell r="S324" t="str">
            <v>民18×</v>
          </cell>
          <cell r="U324" t="str">
            <v>民</v>
          </cell>
          <cell r="W324" t="str">
            <v>×</v>
          </cell>
          <cell r="AA324">
            <v>1700300</v>
          </cell>
          <cell r="AB324">
            <v>1</v>
          </cell>
          <cell r="AD324" t="str">
            <v>無指定</v>
          </cell>
          <cell r="AE324" t="str">
            <v>領安</v>
          </cell>
          <cell r="AF324" t="str">
            <v>会計課調達室／サービス調達第１班</v>
          </cell>
          <cell r="AG324" t="str">
            <v>村松</v>
          </cell>
        </row>
        <row r="325">
          <cell r="A325" t="str">
            <v>民264</v>
          </cell>
          <cell r="B325">
            <v>570</v>
          </cell>
          <cell r="C325" t="str">
            <v>ｶﾌﾞﾘｺ</v>
          </cell>
          <cell r="E325">
            <v>264</v>
          </cell>
          <cell r="F325" t="str">
            <v>株式会社リコー</v>
          </cell>
          <cell r="G325" t="str">
            <v>東京都大田区中馬込１－３－６</v>
          </cell>
          <cell r="H325" t="str">
            <v>「印鑑文書管理システム」の保守契約</v>
          </cell>
          <cell r="I325" t="str">
            <v xml:space="preserve">
外務省大臣官房会計課長　上月豊久
東京都千代田区霞が関２－２－１</v>
          </cell>
          <cell r="J325">
            <v>38443</v>
          </cell>
          <cell r="K325">
            <v>1097958</v>
          </cell>
          <cell r="L325"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325" t="str">
            <v>見直しの余地があるもの</v>
          </cell>
          <cell r="N325" t="str">
            <v>競争入札もしくは企画招請に移行（平成２０年度に実施予定）</v>
          </cell>
          <cell r="P325" t="str">
            <v>民×</v>
          </cell>
          <cell r="Q325" t="str">
            <v>民</v>
          </cell>
          <cell r="S325" t="str">
            <v>民20②</v>
          </cell>
          <cell r="U325" t="str">
            <v>民</v>
          </cell>
          <cell r="Y325" t="str">
            <v>①②</v>
          </cell>
          <cell r="AA325">
            <v>1700201</v>
          </cell>
          <cell r="AB325">
            <v>1</v>
          </cell>
          <cell r="AC325" t="str">
            <v>17W063</v>
          </cell>
          <cell r="AD325" t="str">
            <v>無指定</v>
          </cell>
          <cell r="AE325" t="str">
            <v>領サ</v>
          </cell>
          <cell r="AF325" t="str">
            <v>会計課調達室／サービス調達第３班</v>
          </cell>
          <cell r="AG325" t="str">
            <v>川上</v>
          </cell>
        </row>
        <row r="326">
          <cell r="A326" t="str">
            <v>民265</v>
          </cell>
          <cell r="B326">
            <v>571</v>
          </cell>
          <cell r="C326" t="str">
            <v>ﾌｼﾞﾂｳ</v>
          </cell>
          <cell r="E326">
            <v>265</v>
          </cell>
          <cell r="F326" t="str">
            <v>富士通株式会社</v>
          </cell>
          <cell r="G326" t="str">
            <v>東京都港区東新橋１－５－２</v>
          </cell>
          <cell r="H326" t="str">
            <v>「在留届電子届出システム」運用支援契約</v>
          </cell>
          <cell r="I326" t="str">
            <v xml:space="preserve">
外務省大臣官房会計課長　上月豊久
東京都千代田区霞が関２－２－１</v>
          </cell>
          <cell r="J326">
            <v>38443</v>
          </cell>
          <cell r="K326">
            <v>10458000</v>
          </cell>
          <cell r="L326"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326" t="str">
            <v>見直しの余地があるもの</v>
          </cell>
          <cell r="N326" t="str">
            <v>競争入札もしくは企画招請に移行（平成２０年１０月予定）</v>
          </cell>
          <cell r="P326" t="str">
            <v>民×</v>
          </cell>
          <cell r="Q326" t="str">
            <v>民</v>
          </cell>
          <cell r="S326" t="str">
            <v>民20②</v>
          </cell>
          <cell r="U326" t="str">
            <v>民</v>
          </cell>
          <cell r="Y326" t="str">
            <v>①②</v>
          </cell>
          <cell r="AA326">
            <v>1700067</v>
          </cell>
          <cell r="AB326">
            <v>1</v>
          </cell>
          <cell r="AC326" t="str">
            <v>17W213</v>
          </cell>
          <cell r="AD326" t="str">
            <v>無指定</v>
          </cell>
          <cell r="AE326" t="str">
            <v>領政</v>
          </cell>
          <cell r="AF326" t="str">
            <v>会計課調達室／サービス調達第３班</v>
          </cell>
          <cell r="AG326" t="str">
            <v>川上</v>
          </cell>
          <cell r="AI326" t="str">
            <v>平成２０年度中にシステムを稼働させる機器を入れ換える予定であるため(２１年３月に領事関連データ管理システム運用支援とあわせて公募を行う予定）
（H21.1.26調査回答）
平成21年2月に領事関連データ管理システム運用支援とあわせて公募を実施。</v>
          </cell>
          <cell r="AJ326" t="str">
            <v>平成２１年３月
公募予定
（H21.1.26調査回答）
平成２１年２月
公募実施</v>
          </cell>
        </row>
        <row r="327">
          <cell r="A327" t="str">
            <v>民266</v>
          </cell>
          <cell r="B327">
            <v>572</v>
          </cell>
          <cell r="C327" t="str">
            <v>ｶﾌﾞｻｲ</v>
          </cell>
          <cell r="E327">
            <v>266</v>
          </cell>
          <cell r="F327" t="str">
            <v>株式会社サイマル・インターナショナル</v>
          </cell>
          <cell r="G327" t="str">
            <v>東京都港区虎ノ門１－２５－５　</v>
          </cell>
          <cell r="H327" t="str">
            <v>政府要人の国際会議出席に係る通訳業務（※１４件）</v>
          </cell>
          <cell r="I327" t="str">
            <v>外務省大臣官房会計課長　上月豊久　東京都千代田区霞が関２－２－１</v>
          </cell>
          <cell r="J327">
            <v>38443</v>
          </cell>
          <cell r="K327">
            <v>27163296</v>
          </cell>
          <cell r="L327" t="str">
            <v>国際会議における政府要人の発言の重要性に鑑み、その同時通訳者は高い技術、専門性、公式通訳の豊富な経験に基づき、最も確実かつ適任な者を充てる必要があることから、該当する者を擁する同社と随意契約を行った（会計法第２９条の３第４項）。</v>
          </cell>
          <cell r="M327" t="str">
            <v>その他のもの</v>
          </cell>
          <cell r="N327" t="str">
            <v>随意契約によらざるを得ないもの</v>
          </cell>
          <cell r="O327" t="str">
            <v>全14件</v>
          </cell>
          <cell r="P327" t="str">
            <v>民×</v>
          </cell>
          <cell r="Q327" t="str">
            <v>民</v>
          </cell>
          <cell r="R327">
            <v>14</v>
          </cell>
          <cell r="S327" t="str">
            <v>民1</v>
          </cell>
          <cell r="U327" t="str">
            <v>民</v>
          </cell>
          <cell r="V327" t="str">
            <v>●</v>
          </cell>
          <cell r="AA327" t="str">
            <v>1700124　　　　他</v>
          </cell>
          <cell r="AB327">
            <v>1</v>
          </cell>
          <cell r="AC327" t="str">
            <v>17G219</v>
          </cell>
          <cell r="AD327" t="str">
            <v>無指定</v>
          </cell>
          <cell r="AE327" t="str">
            <v>中東１</v>
          </cell>
          <cell r="AF327" t="str">
            <v>会計課調達室／サービス調達第２班</v>
          </cell>
          <cell r="AG327" t="str">
            <v>和田</v>
          </cell>
          <cell r="AI327" t="str">
            <v>相手国との関係から業務の質を確保することについて特段の配慮を要するもの
行政目的を達成するために不可欠な業務を提供することが可能な者から提供を受けるもの</v>
          </cell>
          <cell r="AJ327" t="str">
            <v>ニ（ヘ）
に準ずる</v>
          </cell>
        </row>
        <row r="328">
          <cell r="A328" t="str">
            <v>民280</v>
          </cell>
          <cell r="B328">
            <v>586</v>
          </cell>
          <cell r="C328" t="str">
            <v>ﾌｼﾞﾂｰｾﾝﾁｭﾘｰ</v>
          </cell>
          <cell r="E328">
            <v>280</v>
          </cell>
          <cell r="F328" t="str">
            <v>富士通株式会社／
センチュリー・リーシング・システム株式会社</v>
          </cell>
          <cell r="G328" t="str">
            <v>東京都港区東新橋１－５－２／
東京都港区浜松町２－４－１</v>
          </cell>
          <cell r="H328" t="str">
            <v>「在留届電子申請プログラム機器」一式（継続）</v>
          </cell>
          <cell r="I328" t="str">
            <v xml:space="preserve">
外務省大臣官房会計課長　上月豊久
東京都千代田区霞が関２－２－１</v>
          </cell>
          <cell r="J328">
            <v>38443</v>
          </cell>
          <cell r="K328">
            <v>4914000</v>
          </cell>
          <cell r="L328" t="str">
            <v>平成１４年度に一般競争入札（契約期間平成１９年１月３１日まで。但し契約自体は単年度）で契約した本件賃貸借契約の継続契約（会計法第２９条の３第４項、特例政令に該当）。</v>
          </cell>
          <cell r="M328" t="str">
            <v>見直しの余地があるもの</v>
          </cell>
          <cell r="N328" t="str">
            <v>競争入札もしくは企画招請に移行（平成２０年１０月予定）</v>
          </cell>
          <cell r="P328" t="str">
            <v>民×</v>
          </cell>
          <cell r="Q328" t="str">
            <v>民</v>
          </cell>
          <cell r="S328" t="str">
            <v>民20②</v>
          </cell>
          <cell r="U328" t="str">
            <v>民</v>
          </cell>
          <cell r="Y328" t="str">
            <v>①②</v>
          </cell>
          <cell r="AA328">
            <v>1700440</v>
          </cell>
          <cell r="AB328">
            <v>1</v>
          </cell>
          <cell r="AC328" t="str">
            <v>17W212</v>
          </cell>
          <cell r="AD328" t="str">
            <v>無指定</v>
          </cell>
          <cell r="AE328" t="str">
            <v>領政</v>
          </cell>
          <cell r="AF328" t="str">
            <v>会計課調達室／サービス調達第３班</v>
          </cell>
          <cell r="AG328" t="str">
            <v>西村</v>
          </cell>
        </row>
        <row r="329">
          <cell r="A329" t="str">
            <v>民281</v>
          </cell>
          <cell r="B329">
            <v>587</v>
          </cell>
          <cell r="C329" t="str">
            <v>ｶﾌﾞﾃﾞﾝ</v>
          </cell>
          <cell r="E329">
            <v>281</v>
          </cell>
          <cell r="F329" t="str">
            <v>株式会社電通</v>
          </cell>
          <cell r="G329" t="str">
            <v>東京都港区東新橋１－８－１</v>
          </cell>
          <cell r="H329" t="str">
            <v>領事関連記事のクリッピングサービス（ＥＬネット）単価契約</v>
          </cell>
          <cell r="I329" t="str">
            <v xml:space="preserve">
外務省大臣官房会計課長　上月豊久
東京都千代田区霞が関２－２－１</v>
          </cell>
          <cell r="J329">
            <v>38443</v>
          </cell>
          <cell r="K329">
            <v>2558140</v>
          </cell>
          <cell r="L329" t="str">
            <v>本件データベースの運営・情報提供を行っている会社との契約であり、他に競争を許さない（会計法第２９条３第４項）。</v>
          </cell>
          <cell r="M329" t="str">
            <v>見直しの余地があるもの</v>
          </cell>
          <cell r="N329" t="str">
            <v>１８年７月末をもって契約解除</v>
          </cell>
          <cell r="O329" t="str">
            <v>単価契約</v>
          </cell>
          <cell r="P329" t="str">
            <v>民×</v>
          </cell>
          <cell r="Q329" t="str">
            <v>民</v>
          </cell>
          <cell r="S329" t="str">
            <v>民18×</v>
          </cell>
          <cell r="U329" t="str">
            <v>民</v>
          </cell>
          <cell r="W329" t="str">
            <v>×</v>
          </cell>
          <cell r="AA329">
            <v>1700311</v>
          </cell>
          <cell r="AB329">
            <v>1</v>
          </cell>
          <cell r="AC329" t="str">
            <v>17S474</v>
          </cell>
          <cell r="AD329" t="str">
            <v>無指定</v>
          </cell>
          <cell r="AE329" t="str">
            <v>経政</v>
          </cell>
          <cell r="AF329" t="str">
            <v>会計課調達室／サービス調達第１班</v>
          </cell>
          <cell r="AG329" t="str">
            <v>村松</v>
          </cell>
        </row>
        <row r="330">
          <cell r="A330" t="str">
            <v>民282</v>
          </cell>
          <cell r="B330">
            <v>588</v>
          </cell>
          <cell r="C330" t="str">
            <v>ﾌｼﾞﾂｳ</v>
          </cell>
          <cell r="E330">
            <v>282</v>
          </cell>
          <cell r="F330" t="str">
            <v>富士通株式会社</v>
          </cell>
          <cell r="G330" t="str">
            <v>東京都港区東新橋１－５－２</v>
          </cell>
          <cell r="H330" t="str">
            <v>「領事関連データ管理システム」運用サポート担当者常駐契約</v>
          </cell>
          <cell r="I330" t="str">
            <v xml:space="preserve">
外務省大臣官房会計課長　上月豊久
東京都千代田区霞が関２－２－１</v>
          </cell>
          <cell r="J330">
            <v>38443</v>
          </cell>
          <cell r="K330">
            <v>18774000</v>
          </cell>
          <cell r="L330" t="str">
            <v>本システムの開発を行った会社が同システムの保守を行うものであり、競争を許さない（会計法第２９条の３第４項、特例政令に該当）。</v>
          </cell>
          <cell r="M330" t="str">
            <v>見直しの余地があるもの</v>
          </cell>
          <cell r="N330" t="str">
            <v>競争入札の実施を検討（新システムを構築の場合には実施を検討）</v>
          </cell>
          <cell r="P330" t="str">
            <v>民×</v>
          </cell>
          <cell r="Q330" t="str">
            <v>民</v>
          </cell>
          <cell r="S330" t="str">
            <v>民21①</v>
          </cell>
          <cell r="U330" t="str">
            <v>民</v>
          </cell>
          <cell r="Z330" t="str">
            <v>①</v>
          </cell>
          <cell r="AA330">
            <v>1700008</v>
          </cell>
          <cell r="AB330">
            <v>1</v>
          </cell>
          <cell r="AC330" t="str">
            <v>17W214</v>
          </cell>
          <cell r="AD330" t="str">
            <v>無指定</v>
          </cell>
          <cell r="AE330" t="str">
            <v>領政</v>
          </cell>
          <cell r="AF330" t="str">
            <v>会計課調達室／サービス調達第３班</v>
          </cell>
          <cell r="AG330" t="str">
            <v>川上</v>
          </cell>
          <cell r="AI330" t="str">
            <v>政府調達
平成２０年度中にシステムを稼働させる機器を入れ換える予定であるため(２１年３月に在留届電子届出システム保守運用支援とあわせて公募を行う予定）
（H21.1.26調査回答）
平成21年2月に在留届電子届出システム保守運用支援とあわせて公募を実施。</v>
          </cell>
          <cell r="AJ330" t="str">
            <v>平成２１年３月
公募予定
（H21.1.26調査回答）
平成２１年２月
公募実施</v>
          </cell>
        </row>
        <row r="331">
          <cell r="A331" t="str">
            <v>民283</v>
          </cell>
          <cell r="B331">
            <v>589</v>
          </cell>
          <cell r="C331" t="str">
            <v>ｶﾌﾞﾎｳｿｳ</v>
          </cell>
          <cell r="E331">
            <v>283</v>
          </cell>
          <cell r="F331" t="str">
            <v>株式会社放送サービスセンター</v>
          </cell>
          <cell r="G331" t="str">
            <v>東京都新宿区本塩町９　</v>
          </cell>
          <cell r="H331" t="str">
            <v>政府要人の国際会議出席に係る同時通訳機器システム運用業務委嘱（※９件）</v>
          </cell>
          <cell r="I331" t="str">
            <v>外務省大臣官房会計課長　上月豊久　東京都千代田区霞が関２－２－１</v>
          </cell>
          <cell r="J331">
            <v>38443</v>
          </cell>
          <cell r="K331">
            <v>20774800</v>
          </cell>
          <cell r="L331" t="str">
            <v>契約相手先は、この種業務に多数の実績を有し、その技術は高く評価されている。また、通常総理の外国訪問は訪問直前に閣議了解され公表されるため、事前の公示による入札は困難である（会計法第２９条の３第４項）。</v>
          </cell>
          <cell r="M331" t="str">
            <v>その他のもの</v>
          </cell>
          <cell r="N331" t="str">
            <v>随意契約によらざるを得ないもの</v>
          </cell>
          <cell r="O331" t="str">
            <v>全9件</v>
          </cell>
          <cell r="P331" t="str">
            <v>民×</v>
          </cell>
          <cell r="Q331" t="str">
            <v>民</v>
          </cell>
          <cell r="R331">
            <v>9</v>
          </cell>
          <cell r="S331" t="str">
            <v>民1</v>
          </cell>
          <cell r="U331" t="str">
            <v>民</v>
          </cell>
          <cell r="V331" t="str">
            <v>●</v>
          </cell>
          <cell r="AA331">
            <v>1700116</v>
          </cell>
          <cell r="AB331">
            <v>1</v>
          </cell>
          <cell r="AC331" t="str">
            <v>17G103</v>
          </cell>
          <cell r="AD331" t="str">
            <v>無指定</v>
          </cell>
          <cell r="AE331" t="str">
            <v>亜地政</v>
          </cell>
          <cell r="AF331" t="str">
            <v>会計課調達室／サービス調達第２班</v>
          </cell>
          <cell r="AG331" t="str">
            <v>和田</v>
          </cell>
          <cell r="AI331" t="str">
            <v>相手国との関係から業務の質を確保することについて特段の配慮を要するもの
行政目的を達成するために不可欠な業務を提供することが可能な者から提供を受けるもの</v>
          </cell>
          <cell r="AJ331" t="str">
            <v>ニ（ヘ）
に準ずる</v>
          </cell>
        </row>
        <row r="332">
          <cell r="A332" t="str">
            <v>民292</v>
          </cell>
          <cell r="B332">
            <v>598</v>
          </cell>
          <cell r="C332" t="str">
            <v>ｶﾌﾞｼﾞｪｲｺﾑ</v>
          </cell>
          <cell r="E332">
            <v>292</v>
          </cell>
          <cell r="F332" t="str">
            <v>株式会社ジェイコム</v>
          </cell>
          <cell r="G332" t="str">
            <v>東京都中央区銀座３－１０－９</v>
          </cell>
          <cell r="H332" t="str">
            <v>「日露修好１５０周年記念式典及び記念講演会」開催</v>
          </cell>
          <cell r="I332" t="str">
            <v xml:space="preserve">
外務省大臣官房会計課長　上月豊久
東京都千代田区霞が関２－２－１</v>
          </cell>
          <cell r="J332">
            <v>38446</v>
          </cell>
          <cell r="K332">
            <v>6772458</v>
          </cell>
          <cell r="L332"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32" t="str">
            <v>見直しの余地があるもの</v>
          </cell>
          <cell r="N332" t="str">
            <v>１８年度においては当該事務・事業の委託等を行う予定のないもの</v>
          </cell>
          <cell r="P332" t="str">
            <v>民○</v>
          </cell>
          <cell r="Q332" t="str">
            <v>民</v>
          </cell>
          <cell r="R332" t="str">
            <v>○</v>
          </cell>
          <cell r="S332" t="str">
            <v>民18×</v>
          </cell>
          <cell r="U332" t="str">
            <v>民</v>
          </cell>
          <cell r="W332" t="str">
            <v>×</v>
          </cell>
          <cell r="AA332">
            <v>1700117</v>
          </cell>
          <cell r="AB332">
            <v>1</v>
          </cell>
          <cell r="AC332" t="str">
            <v>17G187</v>
          </cell>
          <cell r="AD332" t="str">
            <v>取扱注意</v>
          </cell>
          <cell r="AE332" t="str">
            <v>欧ロ</v>
          </cell>
          <cell r="AF332" t="str">
            <v>会計課調達室／サービス調達第２班</v>
          </cell>
          <cell r="AG332" t="str">
            <v>和田</v>
          </cell>
        </row>
        <row r="333">
          <cell r="A333" t="str">
            <v>民293</v>
          </cell>
          <cell r="B333">
            <v>599</v>
          </cell>
          <cell r="C333" t="str">
            <v>ｶﾌﾞｲﾝﾀｰ</v>
          </cell>
          <cell r="E333">
            <v>293</v>
          </cell>
          <cell r="F333" t="str">
            <v>株式会社インターグループ</v>
          </cell>
          <cell r="G333" t="str">
            <v>東京都港区西新橋１－７－２</v>
          </cell>
          <cell r="H333" t="str">
            <v>新入省職員実務英語集中研修</v>
          </cell>
          <cell r="I333" t="str">
            <v>外務省大臣官房会計課長　上月豊久　東京都千代田区霞が関２－２－１</v>
          </cell>
          <cell r="J333">
            <v>38447</v>
          </cell>
          <cell r="K333">
            <v>3532250</v>
          </cell>
          <cell r="L333"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33" t="str">
            <v>見直しの余地があるもの</v>
          </cell>
          <cell r="N333" t="str">
            <v>企画招請を実施（１８年度以降も引き続き実施）</v>
          </cell>
          <cell r="P333" t="str">
            <v>民○</v>
          </cell>
          <cell r="Q333" t="str">
            <v>民</v>
          </cell>
          <cell r="R333" t="str">
            <v>○</v>
          </cell>
          <cell r="S333" t="str">
            <v>民18②</v>
          </cell>
          <cell r="U333" t="str">
            <v>民</v>
          </cell>
          <cell r="W333" t="str">
            <v>②</v>
          </cell>
          <cell r="AA333">
            <v>1700370</v>
          </cell>
          <cell r="AB333">
            <v>1</v>
          </cell>
          <cell r="AC333" t="str">
            <v>17G174</v>
          </cell>
          <cell r="AD333" t="str">
            <v>無指定</v>
          </cell>
          <cell r="AE333" t="str">
            <v>外研</v>
          </cell>
          <cell r="AF333" t="str">
            <v>会計課調達室／サービス調達第１班</v>
          </cell>
          <cell r="AG333" t="str">
            <v>村松</v>
          </cell>
        </row>
        <row r="334">
          <cell r="A334" t="str">
            <v>民294</v>
          </cell>
          <cell r="B334">
            <v>600</v>
          </cell>
          <cell r="C334" t="str">
            <v>ｶﾌﾞｻﾝｳﾃｨﾏ</v>
          </cell>
          <cell r="E334">
            <v>294</v>
          </cell>
          <cell r="F334" t="str">
            <v>株式会社サンウティマ</v>
          </cell>
          <cell r="G334" t="str">
            <v>東京都千代田区平河町１－７－２０</v>
          </cell>
          <cell r="H334" t="str">
            <v>外国テレビチーム接遇及び取材協力業務委託単価契約（※11件）</v>
          </cell>
          <cell r="I334" t="str">
            <v>外務省大臣官房会計課長　上月豊久　東京都千代田区霞が関２－２－１</v>
          </cell>
          <cell r="J334">
            <v>38448</v>
          </cell>
          <cell r="K334">
            <v>58179635</v>
          </cell>
          <cell r="L33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34" t="str">
            <v>見直しの余地があるもの</v>
          </cell>
          <cell r="N334" t="str">
            <v>企画招請を実施（１８年度においても引き続き実施）</v>
          </cell>
          <cell r="O334" t="str">
            <v>単価契約　　　　全11件</v>
          </cell>
          <cell r="P334" t="str">
            <v>民○</v>
          </cell>
          <cell r="Q334" t="str">
            <v>民</v>
          </cell>
          <cell r="R334" t="str">
            <v>○
11</v>
          </cell>
          <cell r="S334" t="str">
            <v>民18②</v>
          </cell>
          <cell r="U334" t="str">
            <v>民</v>
          </cell>
          <cell r="W334" t="str">
            <v>②</v>
          </cell>
          <cell r="AA334">
            <v>1700518</v>
          </cell>
          <cell r="AB334">
            <v>1</v>
          </cell>
          <cell r="AD334" t="str">
            <v>無指定</v>
          </cell>
          <cell r="AE334" t="str">
            <v>広文総</v>
          </cell>
          <cell r="AF334" t="str">
            <v>会計課調達室／サービス調達第２班</v>
          </cell>
          <cell r="AG334" t="str">
            <v>高出</v>
          </cell>
        </row>
        <row r="335">
          <cell r="A335" t="str">
            <v>民305</v>
          </cell>
          <cell r="B335">
            <v>611</v>
          </cell>
          <cell r="C335" t="str">
            <v>ｶﾌﾞｲﾝﾀｰ</v>
          </cell>
          <cell r="E335">
            <v>305</v>
          </cell>
          <cell r="F335" t="str">
            <v>株式会社インターグループ</v>
          </cell>
          <cell r="G335" t="str">
            <v>東京都港区西新橋１－７－２</v>
          </cell>
          <cell r="H335" t="str">
            <v>英語通訳研修</v>
          </cell>
          <cell r="I335" t="str">
            <v>外務省大臣官房会計課長　上月豊久　東京都千代田区霞が関２－２－１</v>
          </cell>
          <cell r="J335">
            <v>38453</v>
          </cell>
          <cell r="K335">
            <v>1126000</v>
          </cell>
          <cell r="L335" t="str">
            <v>平成１６年秋に行った研修受講者に継続して研修を受講させるものであり、各受講者の計画的かつ継続的な能力向上を図るためには同社との契約が不可欠である（会計法第２９条の３第４項）。</v>
          </cell>
          <cell r="M335" t="str">
            <v>見直しの余地があるもの</v>
          </cell>
          <cell r="N335" t="str">
            <v>企画招請または競争入札への移行を検討(平成１９年１０月分より)</v>
          </cell>
          <cell r="P335" t="str">
            <v>民×</v>
          </cell>
          <cell r="Q335" t="str">
            <v>民</v>
          </cell>
          <cell r="S335" t="str">
            <v>民19②</v>
          </cell>
          <cell r="U335" t="str">
            <v>民</v>
          </cell>
          <cell r="X335" t="str">
            <v>①②</v>
          </cell>
          <cell r="AA335">
            <v>1700649</v>
          </cell>
          <cell r="AB335">
            <v>1</v>
          </cell>
          <cell r="AC335" t="str">
            <v>17G025</v>
          </cell>
          <cell r="AD335" t="str">
            <v>無指定</v>
          </cell>
          <cell r="AE335" t="str">
            <v>人</v>
          </cell>
          <cell r="AF335" t="str">
            <v>会計課調達室／サービス調達第１班</v>
          </cell>
          <cell r="AG335" t="str">
            <v>竹澤</v>
          </cell>
        </row>
        <row r="336">
          <cell r="A336" t="str">
            <v>民306</v>
          </cell>
          <cell r="B336">
            <v>612</v>
          </cell>
          <cell r="C336" t="str">
            <v>ﾄｳｷｮｳﾌﾟﾘﾝｽ</v>
          </cell>
          <cell r="E336">
            <v>306</v>
          </cell>
          <cell r="F336" t="str">
            <v>東京プリンスホテル</v>
          </cell>
          <cell r="G336" t="str">
            <v>東京都港区芝公園３－３－１</v>
          </cell>
          <cell r="H336" t="str">
            <v>「日ＡＳＥＡＮ包括的経済連携協定」第１回交渉の開催業務委託</v>
          </cell>
          <cell r="I336" t="str">
            <v>外務省大臣官房会計課長　上月豊久　東京都千代田区霞が関２－２－１</v>
          </cell>
          <cell r="J336">
            <v>38455</v>
          </cell>
          <cell r="K336">
            <v>1595160</v>
          </cell>
          <cell r="L336" t="str">
            <v xml:space="preserve">
本件会議に出席するために来日したＡＳＥＡＮ各国の代表のほとんどが同ホテルに宿泊することになったため、日程上の都合やロジの効率化及び出席者の便宜を図ることを目的として同ホテルと随意契約（レセプション等の会場）を行ったもの(会計法第２９条の３第４項）。</v>
          </cell>
          <cell r="M336" t="str">
            <v>見直しの余地があるもの</v>
          </cell>
          <cell r="N336" t="str">
            <v>18年度において当該事務・事業の委託を行わないもの</v>
          </cell>
          <cell r="P336" t="str">
            <v>民×</v>
          </cell>
          <cell r="Q336" t="str">
            <v>民</v>
          </cell>
          <cell r="S336" t="str">
            <v>民18×</v>
          </cell>
          <cell r="U336" t="str">
            <v>民</v>
          </cell>
          <cell r="W336" t="str">
            <v>×</v>
          </cell>
          <cell r="AA336">
            <v>1700628</v>
          </cell>
          <cell r="AB336">
            <v>1</v>
          </cell>
          <cell r="AC336" t="str">
            <v>17S097</v>
          </cell>
          <cell r="AD336" t="str">
            <v>無指定</v>
          </cell>
          <cell r="AE336" t="str">
            <v>亜地政</v>
          </cell>
          <cell r="AF336" t="str">
            <v>会計課調達室／サービス調達第２班</v>
          </cell>
          <cell r="AG336" t="str">
            <v>光山</v>
          </cell>
        </row>
        <row r="337">
          <cell r="A337" t="str">
            <v>民307</v>
          </cell>
          <cell r="B337">
            <v>613</v>
          </cell>
          <cell r="C337" t="str">
            <v>ｶﾌﾞｼﾞｬﾊﾟﾝｴｺｰ</v>
          </cell>
          <cell r="E337">
            <v>307</v>
          </cell>
          <cell r="F337" t="str">
            <v>株式会社ジャパンエコー社</v>
          </cell>
          <cell r="G337" t="str">
            <v>東京都千代田区平河町１－３－１３</v>
          </cell>
          <cell r="H337" t="str">
            <v>「ジャパン・エコー」（国連安保理改革特集号）買い上げ</v>
          </cell>
          <cell r="I337" t="str">
            <v>外務省大臣官房会計課長　上月豊久　東京都千代田区霞が関２－２－１</v>
          </cell>
          <cell r="J337">
            <v>38455</v>
          </cell>
          <cell r="K337">
            <v>6851250</v>
          </cell>
          <cell r="L337" t="str">
            <v>本件雑誌の出版元である契約先と直接契約を行うものであり、他に競争を許さない（会計法第２９条の３第４項）。</v>
          </cell>
          <cell r="M337" t="str">
            <v>その他のもの</v>
          </cell>
          <cell r="N337" t="str">
            <v>随意契約によらざるを得ないもの</v>
          </cell>
          <cell r="P337" t="str">
            <v>民×</v>
          </cell>
          <cell r="Q337" t="str">
            <v>民</v>
          </cell>
          <cell r="S337" t="str">
            <v>民1</v>
          </cell>
          <cell r="U337" t="str">
            <v>民</v>
          </cell>
          <cell r="V337" t="str">
            <v>●</v>
          </cell>
          <cell r="AA337">
            <v>1700019</v>
          </cell>
          <cell r="AB337">
            <v>1</v>
          </cell>
          <cell r="AC337" t="str">
            <v>17X039</v>
          </cell>
          <cell r="AD337" t="str">
            <v>無指定</v>
          </cell>
          <cell r="AE337" t="str">
            <v>広文総</v>
          </cell>
          <cell r="AF337" t="str">
            <v>会計課調達室／物品調達班</v>
          </cell>
          <cell r="AG337" t="str">
            <v>宮田</v>
          </cell>
        </row>
        <row r="338">
          <cell r="A338" t="str">
            <v>民308</v>
          </cell>
          <cell r="B338">
            <v>614</v>
          </cell>
          <cell r="C338" t="str">
            <v>ｼｬﾀﾞﾝｼﾝｼﾞｮｳﾎｳ</v>
          </cell>
          <cell r="E338">
            <v>308</v>
          </cell>
          <cell r="F338" t="str">
            <v>社団法人新情報センター</v>
          </cell>
          <cell r="G338" t="str">
            <v>東京都渋谷区恵比寿１－１３－６</v>
          </cell>
          <cell r="H338" t="str">
            <v>「日・ＡＳＥＡＮバロメーター事業（ブルネイ）」契約</v>
          </cell>
          <cell r="I338" t="str">
            <v>外務省大臣官房会計課長　上月豊久　東京都千代田区霞が関２－２－１</v>
          </cell>
          <cell r="J338">
            <v>38456</v>
          </cell>
          <cell r="K338">
            <v>3768695</v>
          </cell>
          <cell r="L338" t="str">
            <v>平成１６年度において一般競争入札の結果契約した案件のうち、未実施となっていた部分に関し再度契約を行うものである。同一の機関により調査を行う事は正しいデータ入手のために不可欠である（会計法第２９条の３第４項）。</v>
          </cell>
          <cell r="M338" t="str">
            <v>見直しの余地があるもの</v>
          </cell>
          <cell r="N338" t="str">
            <v>１８年度において当該事務・事業の委託等を行う予定のないもの</v>
          </cell>
          <cell r="P338" t="str">
            <v>民×</v>
          </cell>
          <cell r="Q338" t="str">
            <v>民</v>
          </cell>
          <cell r="S338" t="str">
            <v>民18×</v>
          </cell>
          <cell r="U338" t="str">
            <v>民</v>
          </cell>
          <cell r="W338" t="str">
            <v>×</v>
          </cell>
          <cell r="AA338">
            <v>1700425</v>
          </cell>
          <cell r="AB338">
            <v>1</v>
          </cell>
          <cell r="AC338" t="str">
            <v>17G218</v>
          </cell>
          <cell r="AD338" t="str">
            <v>無指定</v>
          </cell>
          <cell r="AE338" t="str">
            <v>亜地政</v>
          </cell>
          <cell r="AF338" t="str">
            <v>会計課調達室／サービス調達第１班</v>
          </cell>
          <cell r="AG338" t="str">
            <v>村松</v>
          </cell>
        </row>
        <row r="339">
          <cell r="A339" t="str">
            <v>民309</v>
          </cell>
          <cell r="B339">
            <v>615</v>
          </cell>
          <cell r="C339" t="str">
            <v>ｶﾌﾞｲﾝﾄﾞﾋﾞｼﾞﾈｽ</v>
          </cell>
          <cell r="E339">
            <v>309</v>
          </cell>
          <cell r="F339" t="str">
            <v>株式会社インド・ビジネス・センター</v>
          </cell>
          <cell r="G339" t="str">
            <v>東京都千代田区神田駿河台３－３－１０</v>
          </cell>
          <cell r="H339" t="str">
            <v>「日印ＩＴ協力拡大の課題と政策提案に関する調査研究」の委嘱契約</v>
          </cell>
          <cell r="I339" t="str">
            <v>外務省大臣官房会計課長　上月豊久　東京都千代田区霞が関２－２－１</v>
          </cell>
          <cell r="J339">
            <v>38457</v>
          </cell>
          <cell r="K339">
            <v>1998000</v>
          </cell>
          <cell r="L339" t="str">
            <v>本件契約目的を達成するために必要な条件を満たしていると判断できるのは現時点で契約相手先のみであり、他に競争を許さない（会計法第２９条の３第４項）。</v>
          </cell>
          <cell r="M339" t="str">
            <v>見直しの余地があるもの</v>
          </cell>
          <cell r="N339" t="str">
            <v>１８年度以降において当該事務・事業の委託等を行う予定のないもの</v>
          </cell>
          <cell r="P339" t="str">
            <v>民×</v>
          </cell>
          <cell r="Q339" t="str">
            <v>民</v>
          </cell>
          <cell r="S339" t="str">
            <v>民18×</v>
          </cell>
          <cell r="U339" t="str">
            <v>民</v>
          </cell>
          <cell r="W339" t="str">
            <v>×</v>
          </cell>
          <cell r="AA339">
            <v>1700368</v>
          </cell>
          <cell r="AB339">
            <v>1</v>
          </cell>
          <cell r="AC339" t="str">
            <v>17G240</v>
          </cell>
          <cell r="AD339" t="str">
            <v>無指定</v>
          </cell>
          <cell r="AE339" t="str">
            <v>亜西</v>
          </cell>
          <cell r="AF339" t="str">
            <v>会計課調達室／サービス調達第１班</v>
          </cell>
          <cell r="AG339" t="str">
            <v>村松</v>
          </cell>
        </row>
        <row r="340">
          <cell r="A340" t="str">
            <v>民310</v>
          </cell>
          <cell r="B340">
            <v>616</v>
          </cell>
          <cell r="C340" t="str">
            <v>ﾌｼﾞﾂｳ</v>
          </cell>
          <cell r="E340">
            <v>310</v>
          </cell>
          <cell r="F340" t="str">
            <v>富士通株式会社</v>
          </cell>
          <cell r="G340" t="str">
            <v>東京都港区東新橋１－５－２</v>
          </cell>
          <cell r="H340" t="str">
            <v>「Ｗｉｎｄｏｗｓ　ＸＰ　Ｓｅｒｖｉｃｅ　Ｐａｃｋ２」化に伴うシステム等の動作確認</v>
          </cell>
          <cell r="I340" t="str">
            <v xml:space="preserve">
外務省大臣官房会計課長　上月豊久
東京都千代田区霞が関２－２－１</v>
          </cell>
          <cell r="J340">
            <v>38460</v>
          </cell>
          <cell r="K340">
            <v>2215500</v>
          </cell>
          <cell r="L340"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340" t="str">
            <v>見直しの余地があるもの</v>
          </cell>
          <cell r="N340" t="str">
            <v>１８年度以降において当該事務・事業の委託等を行う予定のないもの</v>
          </cell>
          <cell r="P340" t="str">
            <v>民×</v>
          </cell>
          <cell r="Q340" t="str">
            <v>民</v>
          </cell>
          <cell r="S340" t="str">
            <v>民18×</v>
          </cell>
          <cell r="U340" t="str">
            <v>民</v>
          </cell>
          <cell r="W340" t="str">
            <v>×</v>
          </cell>
          <cell r="AA340">
            <v>1700004</v>
          </cell>
          <cell r="AB340">
            <v>1</v>
          </cell>
          <cell r="AC340" t="str">
            <v>17W165</v>
          </cell>
          <cell r="AD340" t="str">
            <v>無指定</v>
          </cell>
          <cell r="AE340" t="str">
            <v>領政</v>
          </cell>
          <cell r="AF340" t="str">
            <v>会計課調達室／サービス調達第３班</v>
          </cell>
          <cell r="AG340" t="str">
            <v>西村</v>
          </cell>
        </row>
        <row r="341">
          <cell r="A341" t="str">
            <v>民311</v>
          </cell>
          <cell r="B341">
            <v>617</v>
          </cell>
          <cell r="C341" t="str">
            <v>ｶﾌﾞｱｳﾞｧﾝﾃｨ</v>
          </cell>
          <cell r="E341">
            <v>311</v>
          </cell>
          <cell r="F341" t="str">
            <v>株式会社アヴァンティスタッフ</v>
          </cell>
          <cell r="G341" t="str">
            <v>東京都中央区八重洲２－６－２１</v>
          </cell>
          <cell r="H341" t="str">
            <v>非英語研修中堅職員の英語研修</v>
          </cell>
          <cell r="I341" t="str">
            <v>外務省大臣官房会計課長　上月豊久　東京都千代田区霞が関２－２－１</v>
          </cell>
          <cell r="J341">
            <v>38462</v>
          </cell>
          <cell r="K341">
            <v>3619684</v>
          </cell>
          <cell r="L341"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41" t="str">
            <v>見直しの余地があるもの</v>
          </cell>
          <cell r="N341" t="str">
            <v>企画招請を実施（１８年度以降も引き続き実施）</v>
          </cell>
          <cell r="P341" t="str">
            <v>民○</v>
          </cell>
          <cell r="Q341" t="str">
            <v>民</v>
          </cell>
          <cell r="R341" t="str">
            <v>○</v>
          </cell>
          <cell r="S341" t="str">
            <v>民18②</v>
          </cell>
          <cell r="U341" t="str">
            <v>民</v>
          </cell>
          <cell r="W341" t="str">
            <v>②</v>
          </cell>
          <cell r="AA341">
            <v>1700039</v>
          </cell>
          <cell r="AB341">
            <v>1</v>
          </cell>
          <cell r="AC341" t="str">
            <v>17G217</v>
          </cell>
          <cell r="AD341" t="str">
            <v>取扱注意</v>
          </cell>
          <cell r="AE341" t="str">
            <v>外研</v>
          </cell>
          <cell r="AF341" t="str">
            <v>会計課調達室／サービス調達第１班</v>
          </cell>
          <cell r="AG341" t="str">
            <v>村松</v>
          </cell>
        </row>
        <row r="342">
          <cell r="A342" t="str">
            <v>民312</v>
          </cell>
          <cell r="B342">
            <v>618</v>
          </cell>
          <cell r="C342" t="str">
            <v>ﾄｼｼｭｯﾊﾟﾝ</v>
          </cell>
          <cell r="E342">
            <v>312</v>
          </cell>
          <cell r="F342" t="str">
            <v>都市出版株式会社</v>
          </cell>
          <cell r="G342" t="str">
            <v>東京都千代田区富士見１－５－８</v>
          </cell>
          <cell r="H342" t="str">
            <v>「外交フォーラム」（英語版）購入</v>
          </cell>
          <cell r="I342" t="str">
            <v>外務省大臣官房会計課長　上月豊久　東京都千代田区霞が関２－２－１</v>
          </cell>
          <cell r="J342">
            <v>38463</v>
          </cell>
          <cell r="K342">
            <v>15590400</v>
          </cell>
          <cell r="L342" t="str">
            <v>本件雑誌の出版元である契約先と直接契約を行うものであり、他に競争を許さない（会計法第２９条の３第４項）。</v>
          </cell>
          <cell r="M342" t="str">
            <v>その他のもの</v>
          </cell>
          <cell r="N342" t="str">
            <v>随意契約によらざるを得ないもの</v>
          </cell>
          <cell r="P342" t="str">
            <v>民×</v>
          </cell>
          <cell r="Q342" t="str">
            <v>民</v>
          </cell>
          <cell r="S342" t="str">
            <v>民1</v>
          </cell>
          <cell r="U342" t="str">
            <v>民</v>
          </cell>
          <cell r="V342" t="str">
            <v>●</v>
          </cell>
          <cell r="AA342">
            <v>1700016</v>
          </cell>
          <cell r="AB342">
            <v>1</v>
          </cell>
          <cell r="AC342" t="str">
            <v>17X050</v>
          </cell>
          <cell r="AD342" t="str">
            <v>無指定</v>
          </cell>
          <cell r="AE342" t="str">
            <v>広文総</v>
          </cell>
          <cell r="AF342" t="str">
            <v>会計課調達室／物品調達班</v>
          </cell>
          <cell r="AG342" t="str">
            <v>宮田</v>
          </cell>
        </row>
        <row r="343">
          <cell r="A343" t="str">
            <v>民313</v>
          </cell>
          <cell r="B343">
            <v>619</v>
          </cell>
          <cell r="C343" t="str">
            <v>ﾎｯﾎﾟｳﾖﾝﾄｳ</v>
          </cell>
          <cell r="E343">
            <v>313</v>
          </cell>
          <cell r="F343" t="str">
            <v>北方四島交流北海道推進委員会</v>
          </cell>
          <cell r="G343" t="str">
            <v>北海道札幌市中央区北三条西６</v>
          </cell>
          <cell r="H343" t="str">
            <v>「北方四島住民招聘（日本語習得支援）」事業委嘱</v>
          </cell>
          <cell r="I343" t="str">
            <v xml:space="preserve">
外務省大臣官房会計課長　上月豊久
東京都千代田区霞が関２－２－１</v>
          </cell>
          <cell r="J343">
            <v>38464</v>
          </cell>
          <cell r="K343">
            <v>15246761</v>
          </cell>
          <cell r="L343" t="str">
            <v>契約相手先は北海道内における四島交流事業を実施するため、北海道庁を始め地元根室管内の自治体、北方領土返還運動団体が構成団体となり設立した団体である。四島在住ロシア人を招聘する北海道受け入れ事業が円滑に行われるためには北海道全体として同事業に取り組む事が必要であるが、かかる事業が実施可能な団体は他に存在しない。従って本事業は当該団体と協力して実施することが政策上不可欠である（会計法第２９条の３第４項）。</v>
          </cell>
          <cell r="M343" t="str">
            <v>その他のもの</v>
          </cell>
          <cell r="N343" t="str">
            <v>随意契約によらざるを得ないもの</v>
          </cell>
          <cell r="P343" t="str">
            <v>民×</v>
          </cell>
          <cell r="Q343" t="str">
            <v>民</v>
          </cell>
          <cell r="S343" t="str">
            <v>民1</v>
          </cell>
          <cell r="U343" t="str">
            <v>民</v>
          </cell>
          <cell r="V343" t="str">
            <v>●</v>
          </cell>
          <cell r="AA343">
            <v>1700119</v>
          </cell>
          <cell r="AB343">
            <v>1</v>
          </cell>
          <cell r="AC343" t="str">
            <v>17G206</v>
          </cell>
          <cell r="AD343" t="str">
            <v>無指定</v>
          </cell>
          <cell r="AE343" t="str">
            <v>欧ロ</v>
          </cell>
          <cell r="AF343" t="str">
            <v>会計課調達室／サービス調達第２班</v>
          </cell>
          <cell r="AG343" t="str">
            <v>和田</v>
          </cell>
        </row>
        <row r="344">
          <cell r="A344" t="str">
            <v>民314</v>
          </cell>
          <cell r="B344">
            <v>620</v>
          </cell>
          <cell r="C344" t="str">
            <v>ｶﾌﾞｴﾇｴﾁｹｰ</v>
          </cell>
          <cell r="E344">
            <v>314</v>
          </cell>
          <cell r="F344" t="str">
            <v>株式会社ＮＨＫプロモーション</v>
          </cell>
          <cell r="G344" t="str">
            <v>東京都渋谷区神山町５－５</v>
          </cell>
          <cell r="H344" t="str">
            <v>「アフリカンフェスタ２００５」の開催契約</v>
          </cell>
          <cell r="I344" t="str">
            <v>外務省大臣官房会計課長　上月豊久　東京都千代田区霞が関２－２－１</v>
          </cell>
          <cell r="J344">
            <v>38467</v>
          </cell>
          <cell r="K344">
            <v>18499843</v>
          </cell>
          <cell r="L34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44" t="str">
            <v>見直しの余地があるもの</v>
          </cell>
          <cell r="N344" t="str">
            <v>企画招請を実施（１８年度以降も引き続き実施）</v>
          </cell>
          <cell r="P344" t="str">
            <v>民○</v>
          </cell>
          <cell r="Q344" t="str">
            <v>民</v>
          </cell>
          <cell r="R344" t="str">
            <v>○</v>
          </cell>
          <cell r="S344" t="str">
            <v>民18②</v>
          </cell>
          <cell r="U344" t="str">
            <v>民</v>
          </cell>
          <cell r="W344" t="str">
            <v>②</v>
          </cell>
          <cell r="AA344">
            <v>1700405</v>
          </cell>
          <cell r="AB344">
            <v>1</v>
          </cell>
          <cell r="AC344" t="str">
            <v>17S254</v>
          </cell>
          <cell r="AD344" t="str">
            <v>取扱注意</v>
          </cell>
          <cell r="AE344" t="str">
            <v>ア２</v>
          </cell>
          <cell r="AF344" t="str">
            <v>会計課調達室／サービス調達第１班</v>
          </cell>
          <cell r="AG344" t="str">
            <v>村松</v>
          </cell>
        </row>
        <row r="345">
          <cell r="A345" t="str">
            <v>民315</v>
          </cell>
          <cell r="B345">
            <v>621</v>
          </cell>
          <cell r="C345" t="str">
            <v>ｷｮｳﾄﾀｶﾗｶﾞｲｹﾌﾟﾘﾝｽ</v>
          </cell>
          <cell r="E345">
            <v>315</v>
          </cell>
          <cell r="F345" t="str">
            <v>京都宝ヶ池プリンスホテル</v>
          </cell>
          <cell r="G345" t="str">
            <v>京都府京都市左京区宝ヶ池</v>
          </cell>
          <cell r="H345" t="str">
            <v>「ＡＳＥＡＮ関連会議」会場</v>
          </cell>
          <cell r="I345" t="str">
            <v>外務省大臣官房会計課長　上月豊久　東京都千代田区霞が関２－２－１</v>
          </cell>
          <cell r="J345">
            <v>38469</v>
          </cell>
          <cell r="K345">
            <v>11243770</v>
          </cell>
          <cell r="L345" t="str">
            <v>ＡＳＥＭ外相会議の宿舎割りに伴い、ＡＳＥＡＮ関連会議についても同ホテルにおいて行うことが合理的である事から随意契約を行った（会計法第２９条の３第４項）。</v>
          </cell>
          <cell r="M345" t="str">
            <v>見直しの余地があるもの</v>
          </cell>
          <cell r="N345" t="str">
            <v>18年度において当該事務・事業の委託を行わないもの</v>
          </cell>
          <cell r="P345" t="str">
            <v>民×</v>
          </cell>
          <cell r="Q345" t="str">
            <v>民</v>
          </cell>
          <cell r="S345" t="str">
            <v>民18×</v>
          </cell>
          <cell r="U345" t="str">
            <v>民</v>
          </cell>
          <cell r="W345" t="str">
            <v>×</v>
          </cell>
          <cell r="AA345">
            <v>1700624</v>
          </cell>
          <cell r="AB345">
            <v>1</v>
          </cell>
          <cell r="AD345" t="str">
            <v>無指定</v>
          </cell>
          <cell r="AE345" t="str">
            <v>亜地政</v>
          </cell>
          <cell r="AF345" t="str">
            <v>会計課調達室／サービス調達第２班</v>
          </cell>
          <cell r="AG345" t="str">
            <v>高出</v>
          </cell>
        </row>
        <row r="346">
          <cell r="A346" t="str">
            <v>民316</v>
          </cell>
          <cell r="B346">
            <v>622</v>
          </cell>
          <cell r="C346" t="str">
            <v>ｻﾞｲｺｸﾘﾂｷｮｳﾄｺｸｻｲ</v>
          </cell>
          <cell r="E346">
            <v>316</v>
          </cell>
          <cell r="F346" t="str">
            <v>財団法人国立京都国際会館</v>
          </cell>
          <cell r="G346" t="str">
            <v>京都府京都市左京区宝ヶ池</v>
          </cell>
          <cell r="H346" t="str">
            <v>「ＡＳＥＭ第７回外相会合」開催契約</v>
          </cell>
          <cell r="I346" t="str">
            <v>外務省大臣官房会計課長　上月豊久　東京都千代田区霞が関２－２－１</v>
          </cell>
          <cell r="J346">
            <v>38470</v>
          </cell>
          <cell r="K346">
            <v>65646953</v>
          </cell>
          <cell r="L346" t="str">
            <v>本件契約目的を履行可能な施設は、京都においては同所以外になく、他に競争を許さない（会計法第２９条の３第４項）。</v>
          </cell>
          <cell r="M346" t="str">
            <v>見直しの余地があるもの</v>
          </cell>
          <cell r="N346" t="str">
            <v>１８年度以降において当該事務・事業の委託等を行う予定のないもの</v>
          </cell>
          <cell r="P346" t="str">
            <v>民×</v>
          </cell>
          <cell r="Q346" t="str">
            <v>民</v>
          </cell>
          <cell r="S346" t="str">
            <v>民18×</v>
          </cell>
          <cell r="U346" t="str">
            <v>民</v>
          </cell>
          <cell r="W346" t="str">
            <v>×</v>
          </cell>
          <cell r="AA346">
            <v>1700622</v>
          </cell>
          <cell r="AB346">
            <v>1</v>
          </cell>
          <cell r="AC346" t="str">
            <v>17S310</v>
          </cell>
          <cell r="AD346" t="str">
            <v>無指定</v>
          </cell>
          <cell r="AE346" t="str">
            <v>経政</v>
          </cell>
          <cell r="AF346" t="str">
            <v>会計課調達室／サービス調達第２班</v>
          </cell>
          <cell r="AG346" t="str">
            <v>高出</v>
          </cell>
        </row>
        <row r="347">
          <cell r="A347" t="str">
            <v>民317</v>
          </cell>
          <cell r="B347">
            <v>623</v>
          </cell>
          <cell r="C347" t="str">
            <v>ｶﾌﾞｼﾞｬﾊﾟﾝｴｺｰ</v>
          </cell>
          <cell r="E347">
            <v>317</v>
          </cell>
          <cell r="F347" t="str">
            <v>株式会社ジャパンエコー社</v>
          </cell>
          <cell r="G347" t="str">
            <v>東京都千代田区平河町１－３－１３</v>
          </cell>
          <cell r="H347" t="str">
            <v>「ジャパン・エコー」（西語版）購入</v>
          </cell>
          <cell r="I347" t="str">
            <v>外務省大臣官房会計課長　上月豊久　東京都千代田区霞が関２－２－１</v>
          </cell>
          <cell r="J347">
            <v>38470</v>
          </cell>
          <cell r="K347">
            <v>13530000</v>
          </cell>
          <cell r="L347" t="str">
            <v>本件雑誌の出版元である契約先と直接契約を行うものであり、他に競争を許さない（会計法第２９条の３第４項）。</v>
          </cell>
          <cell r="M347" t="str">
            <v>その他のもの</v>
          </cell>
          <cell r="N347" t="str">
            <v>随意契約によらざるを得ないもの</v>
          </cell>
          <cell r="P347" t="str">
            <v>民×</v>
          </cell>
          <cell r="Q347" t="str">
            <v>民</v>
          </cell>
          <cell r="S347" t="str">
            <v>民1</v>
          </cell>
          <cell r="U347" t="str">
            <v>民</v>
          </cell>
          <cell r="V347" t="str">
            <v>●</v>
          </cell>
          <cell r="AA347">
            <v>1700022</v>
          </cell>
          <cell r="AB347">
            <v>1</v>
          </cell>
          <cell r="AC347" t="str">
            <v>17X037</v>
          </cell>
          <cell r="AD347" t="str">
            <v>無指定</v>
          </cell>
          <cell r="AE347" t="str">
            <v>広文総</v>
          </cell>
          <cell r="AF347" t="str">
            <v>会計課調達室／物品調達班</v>
          </cell>
          <cell r="AG347" t="str">
            <v>宮田</v>
          </cell>
          <cell r="AI347" t="str">
            <v>出版元からの書籍購入</v>
          </cell>
          <cell r="AJ347" t="str">
            <v>ニ（ニ）</v>
          </cell>
        </row>
        <row r="348">
          <cell r="A348" t="str">
            <v>民318</v>
          </cell>
          <cell r="B348">
            <v>624</v>
          </cell>
          <cell r="C348" t="str">
            <v>ｶﾌﾞｼﾞｬﾊﾟﾝｼﾞｬ</v>
          </cell>
          <cell r="E348">
            <v>318</v>
          </cell>
          <cell r="F348" t="str">
            <v>株式会社　ジャパンジャーナル</v>
          </cell>
          <cell r="G348" t="str">
            <v>東京都千代田区神田２－２－５</v>
          </cell>
          <cell r="H348" t="str">
            <v>Ｔｈｅ　Ｊａｐａｎ　Ｊｏｕｒｎａｌ（西語版、中国語版）の購入</v>
          </cell>
          <cell r="I348" t="str">
            <v>外務省大臣官房会計課長　上月豊久　東京都千代田区霞が関２－２－１</v>
          </cell>
          <cell r="J348">
            <v>38470</v>
          </cell>
          <cell r="K348">
            <v>21624000</v>
          </cell>
          <cell r="L348" t="str">
            <v>当該刊行物の出版元から直接購入する契約であり、他に競争を許さない（会計法第２９条の３第４項、特例政令に該当）。</v>
          </cell>
          <cell r="M348" t="str">
            <v>その他のもの</v>
          </cell>
          <cell r="N348" t="str">
            <v>随意契約によらざるを得ないもの</v>
          </cell>
          <cell r="P348" t="str">
            <v>民×</v>
          </cell>
          <cell r="Q348" t="str">
            <v>民</v>
          </cell>
          <cell r="S348" t="str">
            <v>民1</v>
          </cell>
          <cell r="U348" t="str">
            <v>民</v>
          </cell>
          <cell r="V348" t="str">
            <v>●</v>
          </cell>
          <cell r="AA348">
            <v>1700190</v>
          </cell>
          <cell r="AB348">
            <v>1</v>
          </cell>
          <cell r="AC348" t="str">
            <v>17X038</v>
          </cell>
          <cell r="AD348" t="str">
            <v>無指定</v>
          </cell>
          <cell r="AE348" t="str">
            <v>広文総</v>
          </cell>
          <cell r="AF348" t="str">
            <v>会計課調達室／物品調達班</v>
          </cell>
          <cell r="AG348" t="str">
            <v>宮田</v>
          </cell>
          <cell r="AI348" t="str">
            <v>出版元からの書籍購入
（H21.1.26調査回答）
備考：平成２１年度取りやめ</v>
          </cell>
          <cell r="AJ348" t="str">
            <v>ニ（ニ）</v>
          </cell>
        </row>
        <row r="349">
          <cell r="A349" t="str">
            <v>民319</v>
          </cell>
          <cell r="B349">
            <v>625</v>
          </cell>
          <cell r="C349" t="str">
            <v>ｶﾌﾞｼﾞｬﾊﾟﾝｴｺｰ</v>
          </cell>
          <cell r="E349">
            <v>319</v>
          </cell>
          <cell r="F349" t="str">
            <v>株式会社　ジャパンエコー社</v>
          </cell>
          <cell r="G349" t="str">
            <v>東京都千代田区内幸町２－２－１</v>
          </cell>
          <cell r="H349" t="str">
            <v>「ジャパン・エコー」（英語版）の購入</v>
          </cell>
          <cell r="I349" t="str">
            <v>外務省大臣官房会計課長　上月豊久　東京都千代田区霞が関２－２－１</v>
          </cell>
          <cell r="J349">
            <v>38470</v>
          </cell>
          <cell r="K349">
            <v>64127700</v>
          </cell>
          <cell r="L349" t="str">
            <v>当該刊行物の出版元から直接購入する契約であり、他に競争を許さない（会計法第２９条の３第４項、特例政令に該当）。</v>
          </cell>
          <cell r="M349" t="str">
            <v>その他のもの</v>
          </cell>
          <cell r="N349" t="str">
            <v>随意契約によらざるを得ないもの</v>
          </cell>
          <cell r="P349" t="str">
            <v>民×</v>
          </cell>
          <cell r="Q349" t="str">
            <v>民</v>
          </cell>
          <cell r="S349" t="str">
            <v>民1</v>
          </cell>
          <cell r="U349" t="str">
            <v>民</v>
          </cell>
          <cell r="V349" t="str">
            <v>●</v>
          </cell>
          <cell r="AA349">
            <v>1700194</v>
          </cell>
          <cell r="AB349">
            <v>1</v>
          </cell>
          <cell r="AC349" t="str">
            <v>17X035</v>
          </cell>
          <cell r="AD349" t="str">
            <v>無指定</v>
          </cell>
          <cell r="AE349" t="str">
            <v>広文総</v>
          </cell>
          <cell r="AF349" t="str">
            <v>会計課調達室／物品調達班</v>
          </cell>
          <cell r="AG349" t="str">
            <v>宮田</v>
          </cell>
          <cell r="AI349" t="str">
            <v>出版元からの書籍購入</v>
          </cell>
          <cell r="AJ349" t="str">
            <v>ニ（ニ）</v>
          </cell>
        </row>
        <row r="350">
          <cell r="A350" t="str">
            <v>民320</v>
          </cell>
          <cell r="B350">
            <v>626</v>
          </cell>
          <cell r="C350" t="str">
            <v>ｶﾌﾞｼﾞｬﾊﾟﾝｴｺｰ</v>
          </cell>
          <cell r="E350">
            <v>320</v>
          </cell>
          <cell r="F350" t="str">
            <v>株式会社　ジャパンエコー社</v>
          </cell>
          <cell r="G350" t="str">
            <v>東京都千代田区内幸町２－２－１</v>
          </cell>
          <cell r="H350" t="str">
            <v>「ジャパン・エコー」（仏語版）の購入</v>
          </cell>
          <cell r="I350" t="str">
            <v>外務省大臣官房会計課長　上月豊久　東京都千代田区霞が関２－２－１</v>
          </cell>
          <cell r="J350">
            <v>38470</v>
          </cell>
          <cell r="K350">
            <v>17325000</v>
          </cell>
          <cell r="L350" t="str">
            <v>当該刊行物の出版元から直接購入する契約であり、他に競争を許さない（会計法第２９条の３第４項、特例政令に該当）。</v>
          </cell>
          <cell r="M350" t="str">
            <v>その他のもの</v>
          </cell>
          <cell r="N350" t="str">
            <v>随意契約によらざるを得ないもの</v>
          </cell>
          <cell r="P350" t="str">
            <v>民×</v>
          </cell>
          <cell r="Q350" t="str">
            <v>民</v>
          </cell>
          <cell r="S350" t="str">
            <v>民1</v>
          </cell>
          <cell r="U350" t="str">
            <v>民</v>
          </cell>
          <cell r="V350" t="str">
            <v>●</v>
          </cell>
          <cell r="AA350">
            <v>1700196</v>
          </cell>
          <cell r="AB350">
            <v>1</v>
          </cell>
          <cell r="AC350" t="str">
            <v>17X036</v>
          </cell>
          <cell r="AD350" t="str">
            <v>無指定</v>
          </cell>
          <cell r="AE350" t="str">
            <v>広文総</v>
          </cell>
          <cell r="AF350" t="str">
            <v>会計課調達室／物品調達班</v>
          </cell>
          <cell r="AG350" t="str">
            <v>宮田</v>
          </cell>
        </row>
        <row r="351">
          <cell r="A351" t="str">
            <v>民321</v>
          </cell>
          <cell r="B351">
            <v>627</v>
          </cell>
          <cell r="C351" t="str">
            <v>ｶﾌﾞﾍｲﾎﾞﾝ</v>
          </cell>
          <cell r="E351">
            <v>321</v>
          </cell>
          <cell r="F351" t="str">
            <v>株式会社　平凡社</v>
          </cell>
          <cell r="G351" t="str">
            <v>東京都文京区白山２－２９－４　</v>
          </cell>
          <cell r="H351" t="str">
            <v>海外広報資料「にっぽにあ」の購入</v>
          </cell>
          <cell r="I351" t="str">
            <v>外務省大臣官房会計課長　上月豊久　東京都千代田区霞が関２－２－１</v>
          </cell>
          <cell r="J351">
            <v>38470</v>
          </cell>
          <cell r="K351">
            <v>145068000</v>
          </cell>
          <cell r="L351" t="str">
            <v>当該刊行物の出版元から直接購入する契約であり、他に競争を許さない（会計法第２９条の３第４項、特例政令に該当）。</v>
          </cell>
          <cell r="M351" t="str">
            <v>その他のもの</v>
          </cell>
          <cell r="N351" t="str">
            <v>随意契約によらざるを得ないもの</v>
          </cell>
          <cell r="O351" t="str">
            <v xml:space="preserve">
単価契約(@200円）</v>
          </cell>
          <cell r="P351" t="str">
            <v>民×</v>
          </cell>
          <cell r="Q351" t="str">
            <v>民</v>
          </cell>
          <cell r="S351" t="str">
            <v>民1</v>
          </cell>
          <cell r="U351" t="str">
            <v>民</v>
          </cell>
          <cell r="V351" t="str">
            <v>●</v>
          </cell>
          <cell r="AA351">
            <v>1700263</v>
          </cell>
          <cell r="AB351">
            <v>1</v>
          </cell>
          <cell r="AC351" t="str">
            <v>17X077</v>
          </cell>
          <cell r="AD351" t="str">
            <v>無指定</v>
          </cell>
          <cell r="AE351" t="str">
            <v>広文総</v>
          </cell>
          <cell r="AF351" t="str">
            <v>会計課調達室／物品調達班</v>
          </cell>
          <cell r="AG351" t="str">
            <v>宮田</v>
          </cell>
          <cell r="AI351" t="str">
            <v>出版元からの書籍購入
（H21.1.26調査回答）
備考：平成２１年度取りやめ</v>
          </cell>
          <cell r="AJ351" t="str">
            <v>ニ（ニ）</v>
          </cell>
        </row>
        <row r="352">
          <cell r="A352" t="str">
            <v>民322</v>
          </cell>
          <cell r="B352">
            <v>628</v>
          </cell>
          <cell r="C352" t="str">
            <v>ﾄｼｼｭｯﾊﾟﾝ</v>
          </cell>
          <cell r="E352">
            <v>322</v>
          </cell>
          <cell r="F352" t="str">
            <v>都市出版株式会社</v>
          </cell>
          <cell r="G352" t="str">
            <v>東京都千代田区富士見１－５－８</v>
          </cell>
          <cell r="H352" t="str">
            <v>月刊「外交フォーラム」誌の購入（単価契約）</v>
          </cell>
          <cell r="I352" t="str">
            <v xml:space="preserve">
外務省大臣官房会計課長　上月豊久
東京都千代田区霞が関２－２－１</v>
          </cell>
          <cell r="J352">
            <v>38470</v>
          </cell>
          <cell r="K352">
            <v>83426616</v>
          </cell>
          <cell r="L352" t="str">
            <v>当該刊行物の出版元から直接購入する契約であり、他に競争を許さない（会計法第２９条の３第４項号、特例政令に該当）。</v>
          </cell>
          <cell r="M352" t="str">
            <v>その他のもの</v>
          </cell>
          <cell r="N352" t="str">
            <v>随意契約によらざるを得ないもの</v>
          </cell>
          <cell r="P352" t="str">
            <v>民×</v>
          </cell>
          <cell r="Q352" t="str">
            <v>民</v>
          </cell>
          <cell r="S352" t="str">
            <v>民1</v>
          </cell>
          <cell r="U352" t="str">
            <v>民</v>
          </cell>
          <cell r="V352" t="str">
            <v>●</v>
          </cell>
          <cell r="AA352">
            <v>1700262</v>
          </cell>
          <cell r="AB352">
            <v>1</v>
          </cell>
          <cell r="AC352" t="str">
            <v>17X053</v>
          </cell>
          <cell r="AD352" t="str">
            <v>無指定</v>
          </cell>
          <cell r="AE352" t="str">
            <v>報内</v>
          </cell>
          <cell r="AF352" t="str">
            <v>会計課調達室／物品調達班</v>
          </cell>
          <cell r="AG352" t="str">
            <v>宮田</v>
          </cell>
          <cell r="AI352" t="str">
            <v>出版元からの書籍購入</v>
          </cell>
          <cell r="AJ352" t="str">
            <v>ニ（ニ）</v>
          </cell>
        </row>
        <row r="353">
          <cell r="A353" t="str">
            <v>民323</v>
          </cell>
          <cell r="B353">
            <v>629</v>
          </cell>
          <cell r="C353" t="str">
            <v>ﾆｼｼﾞﾝｵﾘ</v>
          </cell>
          <cell r="E353">
            <v>323</v>
          </cell>
          <cell r="F353" t="str">
            <v>西陣織工業組合</v>
          </cell>
          <cell r="G353" t="str">
            <v>京都府京都市上京区堀川通今出川南入</v>
          </cell>
          <cell r="H353" t="str">
            <v>ASEM京都外相会合参加国代表への贈呈品購入</v>
          </cell>
          <cell r="I353" t="str">
            <v>外務省大臣官房会計課長　上月豊久　東京都千代田区霞が関２－２－１</v>
          </cell>
          <cell r="J353">
            <v>38474</v>
          </cell>
          <cell r="K353">
            <v>3591000</v>
          </cell>
          <cell r="L353" t="str">
            <v>西陣織の生産者からなる同組合は正当な西陣織に貼付される「証紙」を発行しており百貨店小売店も同組合より製品を卸売りしている。従って西陣織を適正価格で購入するための契約相手先としては他に競争を許さない。また、当方の指定する特定の製品を希望する時期に大量に納入できるのは同組合のみである（会計法第２９条の３第４項）。</v>
          </cell>
          <cell r="M353" t="str">
            <v>見直しの余地があるもの</v>
          </cell>
          <cell r="N353" t="str">
            <v>１８年度以降において当該事務・事業の委託等を行う予定のないもの</v>
          </cell>
          <cell r="P353" t="str">
            <v>民×</v>
          </cell>
          <cell r="Q353" t="str">
            <v>民</v>
          </cell>
          <cell r="S353" t="str">
            <v>民18×</v>
          </cell>
          <cell r="U353" t="str">
            <v>民</v>
          </cell>
          <cell r="W353" t="str">
            <v>×</v>
          </cell>
          <cell r="AA353">
            <v>1700433</v>
          </cell>
          <cell r="AB353">
            <v>1</v>
          </cell>
          <cell r="AD353" t="str">
            <v>取扱注意</v>
          </cell>
          <cell r="AE353" t="str">
            <v>経政</v>
          </cell>
          <cell r="AF353" t="str">
            <v>会計課調達室／物品調達班</v>
          </cell>
          <cell r="AG353" t="str">
            <v>宮田</v>
          </cell>
        </row>
        <row r="354">
          <cell r="A354" t="str">
            <v>民324</v>
          </cell>
          <cell r="B354">
            <v>630</v>
          </cell>
          <cell r="C354" t="str">
            <v>ｶﾌﾞﾌｼﾞｳｴｷ</v>
          </cell>
          <cell r="E354">
            <v>324</v>
          </cell>
          <cell r="F354" t="str">
            <v>株式会社富士植木</v>
          </cell>
          <cell r="G354" t="str">
            <v>東京都千代田区九段南４－１－９</v>
          </cell>
          <cell r="H354" t="str">
            <v>研修所植栽の保守管理契約</v>
          </cell>
          <cell r="I354" t="str">
            <v>外務省大臣官房会計課長　上月豊久　東京都千代田区霞が関２－２－１</v>
          </cell>
          <cell r="J354">
            <v>38474</v>
          </cell>
          <cell r="K354">
            <v>10981434</v>
          </cell>
          <cell r="L354" t="str">
            <v>研修所植栽については、平成１４年度において一般競争により契約した同社と保守管理契約を結んできている。その間研修所施設の工事による植栽の撤去、移動等を実施したところ、その回復や周囲との調和を図るため継続して同社と契約を行う必要がある（会計法第２９条の３第４項）。</v>
          </cell>
          <cell r="M354" t="str">
            <v>見直しの余地があるもの</v>
          </cell>
          <cell r="N354" t="str">
            <v>競争入札に移行（１８年度から実施）</v>
          </cell>
          <cell r="P354" t="str">
            <v>民×</v>
          </cell>
          <cell r="Q354" t="str">
            <v>民</v>
          </cell>
          <cell r="S354" t="str">
            <v>民18①</v>
          </cell>
          <cell r="U354" t="str">
            <v>民</v>
          </cell>
          <cell r="W354" t="str">
            <v>①</v>
          </cell>
          <cell r="AA354">
            <v>1700672</v>
          </cell>
          <cell r="AB354">
            <v>1</v>
          </cell>
          <cell r="AC354" t="str">
            <v>17Z144</v>
          </cell>
          <cell r="AD354" t="str">
            <v>無指定</v>
          </cell>
          <cell r="AE354" t="str">
            <v>外研</v>
          </cell>
          <cell r="AF354" t="str">
            <v>会計課調達室／政府調達班</v>
          </cell>
          <cell r="AG354" t="str">
            <v>石井</v>
          </cell>
        </row>
        <row r="355">
          <cell r="A355" t="str">
            <v>民325</v>
          </cell>
          <cell r="B355">
            <v>631</v>
          </cell>
          <cell r="C355" t="str">
            <v>ｶﾌﾞﾚｯｸ</v>
          </cell>
          <cell r="E355">
            <v>325</v>
          </cell>
          <cell r="F355" t="str">
            <v>株式会社レックス</v>
          </cell>
          <cell r="G355" t="str">
            <v>東京都港区赤坂２－２０－２　</v>
          </cell>
          <cell r="H355" t="str">
            <v>Ｗｅｂ Ｊａｐａｎホームページ「Ｊａｐａｎ　Ｌｉｎｋｓ」の更新業務契約</v>
          </cell>
          <cell r="I355" t="str">
            <v>外務省大臣官房会計課長　上月豊久　東京都千代田区霞が関２－２－１</v>
          </cell>
          <cell r="J355">
            <v>38474</v>
          </cell>
          <cell r="K355">
            <v>5584163</v>
          </cell>
          <cell r="L355" t="str">
            <v>平成１５年度における企画招請の結果採用された業者との契約である。同社に継続して委嘱することが業務効率の面からも合理的である（会計法第２９条の３第４項）。</v>
          </cell>
          <cell r="M355" t="str">
            <v>見直しの余地があるもの</v>
          </cell>
          <cell r="N355" t="str">
            <v>企画招請を実施（１８年度）</v>
          </cell>
          <cell r="P355" t="str">
            <v>民×</v>
          </cell>
          <cell r="Q355" t="str">
            <v>民</v>
          </cell>
          <cell r="S355" t="str">
            <v>民18②</v>
          </cell>
          <cell r="U355" t="str">
            <v>民</v>
          </cell>
          <cell r="W355" t="str">
            <v>②</v>
          </cell>
          <cell r="AA355">
            <v>1700428</v>
          </cell>
          <cell r="AB355">
            <v>1</v>
          </cell>
          <cell r="AC355" t="str">
            <v>17W141</v>
          </cell>
          <cell r="AD355" t="str">
            <v>無指定</v>
          </cell>
          <cell r="AE355" t="str">
            <v>広文総</v>
          </cell>
          <cell r="AF355" t="str">
            <v>会計課調達室／サービス調達第１班</v>
          </cell>
          <cell r="AG355" t="str">
            <v>村松</v>
          </cell>
        </row>
        <row r="356">
          <cell r="A356" t="str">
            <v>民326</v>
          </cell>
          <cell r="B356">
            <v>632</v>
          </cell>
          <cell r="C356" t="str">
            <v>ｹｲﾃﾞｨｰﾃﾞｨｰｱｲ</v>
          </cell>
          <cell r="E356">
            <v>326</v>
          </cell>
          <cell r="F356" t="str">
            <v>ケイディーディーアイ株式会社</v>
          </cell>
          <cell r="G356" t="str">
            <v>東京都千代田区飯田橋３－１０－１０</v>
          </cell>
          <cell r="H356" t="str">
            <v>「デジタル通信ネットワーク」機器の設定及び調整作業等（在アフガニスタン日本国大使館）</v>
          </cell>
          <cell r="I356" t="str">
            <v>外務省大臣官房会計課長　上月豊久　東京都千代田区霞が関２－２－１</v>
          </cell>
          <cell r="J356">
            <v>38474</v>
          </cell>
          <cell r="K356">
            <v>1497510</v>
          </cell>
          <cell r="L356" t="str">
            <v>平成１３年度において一般競争入札で調達した同社製のネットワーク機器の設定、調整であり、所有権を有する同社が実施することが不可欠であり、他に競争を許さない（会計法第２９条の３第４項）。</v>
          </cell>
          <cell r="M356" t="str">
            <v>見直しの余地があるもの</v>
          </cell>
          <cell r="N356" t="str">
            <v>１８年度以降において当該事務・事業の委託等を行う予定はない</v>
          </cell>
          <cell r="P356" t="str">
            <v>民×</v>
          </cell>
          <cell r="Q356" t="str">
            <v>民</v>
          </cell>
          <cell r="S356" t="str">
            <v>民18×</v>
          </cell>
          <cell r="U356" t="str">
            <v>民</v>
          </cell>
          <cell r="W356" t="str">
            <v>×</v>
          </cell>
        </row>
        <row r="357">
          <cell r="A357" t="str">
            <v>民327</v>
          </cell>
          <cell r="B357">
            <v>633</v>
          </cell>
          <cell r="C357" t="str">
            <v>ｶﾌﾞｱﾄｯｸｽ</v>
          </cell>
          <cell r="E357">
            <v>327</v>
          </cell>
          <cell r="F357" t="str">
            <v>株式会社アトックス</v>
          </cell>
          <cell r="G357" t="str">
            <v>東京都港区虎ノ門３－６－２</v>
          </cell>
          <cell r="H357" t="str">
            <v>中国遺棄化学兵器に関する突合（ｒｅｃｏｎｃｉｌｉａｔｉｏｎ）作業の委嘱</v>
          </cell>
          <cell r="I357" t="str">
            <v>外務省大臣官房会計課長　上月豊久　東京都千代田区霞が関２－２－１</v>
          </cell>
          <cell r="J357">
            <v>38478</v>
          </cell>
          <cell r="K357">
            <v>1024117</v>
          </cell>
          <cell r="L357" t="str">
            <v>本件を行う上で不可欠な知見は極めて専門的かつ希少なものであり、契約相手先以外に履行できる業者は見あたらない。また、長期的視野に立ち、専門家を育成し鑑定作業の精度を高めていくという観点からも契約相手先との契約が不可欠である(会計法第２９条の３第４項）</v>
          </cell>
          <cell r="M357" t="str">
            <v>見直しの余地があるもの</v>
          </cell>
          <cell r="N357" t="str">
            <v>１８年度において当該事務・事業の委託等を行う予定のないもの</v>
          </cell>
          <cell r="P357" t="str">
            <v>民×</v>
          </cell>
          <cell r="Q357" t="str">
            <v>民</v>
          </cell>
          <cell r="S357" t="str">
            <v>民18×</v>
          </cell>
          <cell r="U357" t="str">
            <v>民</v>
          </cell>
          <cell r="W357" t="str">
            <v>×</v>
          </cell>
          <cell r="AA357">
            <v>1700407</v>
          </cell>
          <cell r="AB357">
            <v>1</v>
          </cell>
          <cell r="AC357" t="str">
            <v>17G258</v>
          </cell>
          <cell r="AD357" t="str">
            <v>取扱注意</v>
          </cell>
          <cell r="AE357" t="str">
            <v>軍化兵</v>
          </cell>
          <cell r="AF357" t="str">
            <v>会計課調達室／サービス調達第１班</v>
          </cell>
          <cell r="AG357" t="str">
            <v>村松</v>
          </cell>
        </row>
        <row r="358">
          <cell r="A358" t="str">
            <v>民328</v>
          </cell>
          <cell r="B358">
            <v>634</v>
          </cell>
          <cell r="C358" t="str">
            <v>ｶﾌﾞｻﾝｳﾃｨﾏ</v>
          </cell>
          <cell r="E358">
            <v>328</v>
          </cell>
          <cell r="F358" t="str">
            <v>株式会社　サンウティマ</v>
          </cell>
          <cell r="G358" t="str">
            <v>東京都千代田区平河町１－７－２０</v>
          </cell>
          <cell r="H358" t="str">
            <v>海外ＴＶ局提供・海外広報用日本紹介ビデオ「ＪＡＰＡＮ　ＶＩＤＥＯ　ＴＯＰＩＣＳ」の制作及び複製</v>
          </cell>
          <cell r="I358" t="str">
            <v>外務省大臣官房会計課長　上月豊久　東京都千代田区霞が関２－２－１</v>
          </cell>
          <cell r="J358">
            <v>38483</v>
          </cell>
          <cell r="K358">
            <v>62034588</v>
          </cell>
          <cell r="L358" t="str">
            <v>公示の上、資料提供企画招請を行い、提出された企画書審査等を通じ企画内容・見積額等により判断し、同社が最も高い評価を得て確実な業務の履行が可能であると認められたもの（会計法第２９条の３第４項、特定政令に該当）</v>
          </cell>
          <cell r="M358" t="str">
            <v>見直しの余地があるもの</v>
          </cell>
          <cell r="N358" t="str">
            <v>企画招請を実施（１８年度以降も引き続き実施）</v>
          </cell>
          <cell r="P358" t="str">
            <v>民○</v>
          </cell>
          <cell r="Q358" t="str">
            <v>民</v>
          </cell>
          <cell r="R358" t="str">
            <v>○</v>
          </cell>
          <cell r="S358" t="str">
            <v>民18②</v>
          </cell>
          <cell r="U358" t="str">
            <v>民</v>
          </cell>
          <cell r="W358" t="str">
            <v>②</v>
          </cell>
          <cell r="AA358">
            <v>1700878</v>
          </cell>
          <cell r="AB358">
            <v>1</v>
          </cell>
          <cell r="AC358" t="str">
            <v>17X084</v>
          </cell>
          <cell r="AD358" t="str">
            <v>無指定</v>
          </cell>
          <cell r="AE358" t="str">
            <v>広文総</v>
          </cell>
          <cell r="AF358" t="str">
            <v>会計課調達室／サービス調達第１班</v>
          </cell>
          <cell r="AG358" t="str">
            <v>村松</v>
          </cell>
        </row>
        <row r="359">
          <cell r="A359" t="str">
            <v>民329</v>
          </cell>
          <cell r="B359">
            <v>635</v>
          </cell>
          <cell r="C359" t="str">
            <v>ｶﾌﾞﾊﾟﾚｽﾎﾃﾙ</v>
          </cell>
          <cell r="E359">
            <v>329</v>
          </cell>
          <cell r="F359" t="str">
            <v>株式会社パレスホテル</v>
          </cell>
          <cell r="G359" t="str">
            <v>東京都千代田区丸の内１－１－１</v>
          </cell>
          <cell r="H359" t="str">
            <v>大使会議開催に伴う外務大臣主催意見交換会開催契約</v>
          </cell>
          <cell r="I359" t="str">
            <v xml:space="preserve">
外務省大臣官房会計課長　上月豊久
東京都千代田区霞が関２－２－１</v>
          </cell>
          <cell r="J359">
            <v>38485</v>
          </cell>
          <cell r="K359">
            <v>3396750</v>
          </cell>
          <cell r="L359" t="str">
            <v>緊急の必要により競争に付することができないため（会計法第２９条の３第４項）。</v>
          </cell>
          <cell r="M359" t="str">
            <v>見直しの余地があるもの</v>
          </cell>
          <cell r="N359" t="str">
            <v>１８年度において当該事務・事業の委託等を行う予定のないもの</v>
          </cell>
          <cell r="P359" t="str">
            <v>民×</v>
          </cell>
          <cell r="Q359" t="str">
            <v>民</v>
          </cell>
          <cell r="S359" t="str">
            <v>民18×</v>
          </cell>
          <cell r="U359" t="str">
            <v>民</v>
          </cell>
          <cell r="W359" t="str">
            <v>×</v>
          </cell>
          <cell r="AA359">
            <v>1700145</v>
          </cell>
          <cell r="AB359">
            <v>1</v>
          </cell>
          <cell r="AC359" t="str">
            <v>17Q305</v>
          </cell>
          <cell r="AD359" t="str">
            <v>無指定</v>
          </cell>
          <cell r="AE359" t="str">
            <v>総</v>
          </cell>
          <cell r="AF359" t="str">
            <v>会計課調達室／サービス調達第２班</v>
          </cell>
          <cell r="AG359" t="str">
            <v>和田</v>
          </cell>
        </row>
        <row r="360">
          <cell r="A360" t="str">
            <v>民330</v>
          </cell>
          <cell r="B360">
            <v>636</v>
          </cell>
          <cell r="C360" t="str">
            <v>ﾆﾎﾝｺｳﾂｳｶﾝｺｳ</v>
          </cell>
          <cell r="E360">
            <v>330</v>
          </cell>
          <cell r="F360" t="str">
            <v>日本交通観光株式会社</v>
          </cell>
          <cell r="G360" t="str">
            <v>東京都港区東新橋１－３－１　</v>
          </cell>
          <cell r="H360" t="str">
            <v>大使会議開催（移動用バス借上げ）</v>
          </cell>
          <cell r="I360" t="str">
            <v xml:space="preserve">
外務省大臣官房会計課長　上月豊久
東京都千代田区霞が関２－２－１</v>
          </cell>
          <cell r="J360">
            <v>38485</v>
          </cell>
          <cell r="K360">
            <v>1107750</v>
          </cell>
          <cell r="L360" t="str">
            <v>緊急の必要により競争に付することができないため（会計法第２９条の３第４項）。</v>
          </cell>
          <cell r="M360" t="str">
            <v>見直しの余地があるもの</v>
          </cell>
          <cell r="N360" t="str">
            <v>１８年度において当該事務・事業の委託等を行う予定のないもの</v>
          </cell>
          <cell r="P360" t="str">
            <v>民×</v>
          </cell>
          <cell r="Q360" t="str">
            <v>民</v>
          </cell>
          <cell r="S360" t="str">
            <v>民18×</v>
          </cell>
          <cell r="U360" t="str">
            <v>民</v>
          </cell>
          <cell r="W360" t="str">
            <v>×</v>
          </cell>
          <cell r="AA360">
            <v>1700143</v>
          </cell>
          <cell r="AB360">
            <v>1</v>
          </cell>
          <cell r="AC360" t="str">
            <v>17Q268</v>
          </cell>
          <cell r="AD360" t="str">
            <v>無指定</v>
          </cell>
          <cell r="AE360" t="str">
            <v>総</v>
          </cell>
          <cell r="AF360" t="str">
            <v>会計課調達室／サービス調達第２班</v>
          </cell>
          <cell r="AG360" t="str">
            <v>和田</v>
          </cell>
        </row>
        <row r="361">
          <cell r="A361" t="str">
            <v>民331</v>
          </cell>
          <cell r="B361">
            <v>637</v>
          </cell>
          <cell r="C361" t="str">
            <v>ｶﾌﾞﾃｲ</v>
          </cell>
          <cell r="E361">
            <v>331</v>
          </cell>
          <cell r="F361" t="str">
            <v>株式会社帝国ホテル</v>
          </cell>
          <cell r="G361" t="str">
            <v>東京都千代田区内幸町１－１－１</v>
          </cell>
          <cell r="H361" t="str">
            <v>公式実務訪問賓客等接遇（※宿舎契約・１３件）</v>
          </cell>
          <cell r="I361" t="str">
            <v>外務省大臣官房会計課長　上月豊久　東京都千代田区霞が関２－２－１</v>
          </cell>
          <cell r="J361">
            <v>38485</v>
          </cell>
          <cell r="K361">
            <v>22583027</v>
          </cell>
          <cell r="L361" t="str">
            <v>賓客側の希望に基づき、滞在中の行事、用務等日程の都合、立地条件、ホテル側の受け入れ態勢などを総合的に判断し委嘱したものであり、他に競争を許さない（会計法第２９条の３第４項）。</v>
          </cell>
          <cell r="M361" t="str">
            <v>その他のもの</v>
          </cell>
          <cell r="N361" t="str">
            <v>随意契約によらざるを得ないもの</v>
          </cell>
          <cell r="O361" t="str">
            <v>全13件</v>
          </cell>
          <cell r="P361" t="str">
            <v>民×</v>
          </cell>
          <cell r="Q361" t="str">
            <v>民</v>
          </cell>
          <cell r="R361">
            <v>13</v>
          </cell>
          <cell r="S361" t="str">
            <v>民1</v>
          </cell>
          <cell r="U361" t="str">
            <v>民</v>
          </cell>
          <cell r="V361" t="str">
            <v>●</v>
          </cell>
          <cell r="AA361">
            <v>1700619</v>
          </cell>
          <cell r="AB361">
            <v>2</v>
          </cell>
          <cell r="AC361" t="str">
            <v>17J039</v>
          </cell>
          <cell r="AD361" t="str">
            <v>無指定</v>
          </cell>
          <cell r="AE361" t="str">
            <v>中東１</v>
          </cell>
          <cell r="AF361" t="str">
            <v>会計課調達室／サービス調達第２班</v>
          </cell>
          <cell r="AG361" t="str">
            <v>高出</v>
          </cell>
          <cell r="AI361" t="str">
            <v>相手国との関係から業務の質を確保することについて特段の配慮を要するもの
行政目的を達成するために不可欠な業務を提供することが可能な者から提供を受けるもの</v>
          </cell>
          <cell r="AJ361" t="str">
            <v>ニ（ヘ）
に準ずる</v>
          </cell>
        </row>
        <row r="362">
          <cell r="A362" t="str">
            <v>民344</v>
          </cell>
          <cell r="B362">
            <v>650</v>
          </cell>
          <cell r="C362" t="str">
            <v>ﾆｼﾑﾗｿｳｺﾞｳﾎｳﾘﾂ</v>
          </cell>
          <cell r="E362">
            <v>344</v>
          </cell>
          <cell r="F362" t="str">
            <v>西村総合法律事務所</v>
          </cell>
          <cell r="G362" t="str">
            <v>東京都港区赤坂１－１２－３２</v>
          </cell>
          <cell r="H362" t="str">
            <v>「のり輸入割当制度に関するＷＴＯへの提起」関連法律業務委嘱</v>
          </cell>
          <cell r="I362" t="str">
            <v>外務省大臣官房会計課長　上月豊久　東京都千代田区霞が関２－２－１</v>
          </cell>
          <cell r="J362">
            <v>38491</v>
          </cell>
          <cell r="K362">
            <v>4998000</v>
          </cell>
          <cell r="L362" t="str">
            <v>同法律事務所には、既に事前調査を委嘱しており、これを踏まえた調査が必要である事、また、同事務所は契約目的を履行するための専門知識と経験を有しており、他に競争を許さない（会計法第２９条の３第４項）。</v>
          </cell>
          <cell r="M362" t="str">
            <v>見直しの余地があるもの</v>
          </cell>
          <cell r="N362" t="str">
            <v>１８年度以降において当該事務・事業の委託等を行う予定のないもの</v>
          </cell>
          <cell r="P362" t="str">
            <v>民×</v>
          </cell>
          <cell r="Q362" t="str">
            <v>民</v>
          </cell>
          <cell r="S362" t="str">
            <v>民18×</v>
          </cell>
          <cell r="U362" t="str">
            <v>民</v>
          </cell>
          <cell r="W362" t="str">
            <v>×</v>
          </cell>
          <cell r="AA362">
            <v>1700603</v>
          </cell>
          <cell r="AB362">
            <v>1</v>
          </cell>
          <cell r="AC362" t="str">
            <v>17G321</v>
          </cell>
          <cell r="AD362" t="str">
            <v>無指定</v>
          </cell>
          <cell r="AE362" t="str">
            <v>経サ貿</v>
          </cell>
          <cell r="AF362" t="str">
            <v>会計課調達室／サービス調達第１班</v>
          </cell>
          <cell r="AG362" t="str">
            <v>竹澤</v>
          </cell>
        </row>
        <row r="363">
          <cell r="A363" t="str">
            <v>民345</v>
          </cell>
          <cell r="B363">
            <v>651</v>
          </cell>
          <cell r="C363" t="str">
            <v>ｺｸｻｲｼﾞﾄﾞｳｼｬ</v>
          </cell>
          <cell r="E363">
            <v>345</v>
          </cell>
          <cell r="F363" t="str">
            <v>国際自動車株式会社</v>
          </cell>
          <cell r="G363" t="str">
            <v>東京都港区赤坂２－６－１５</v>
          </cell>
          <cell r="H363" t="str">
            <v>国賓等接遇（※車両借上経費・３件）</v>
          </cell>
          <cell r="I363" t="str">
            <v>外務省大臣官房会計課長　上月豊久　東京都千代田区霞が関２－２－１</v>
          </cell>
          <cell r="J363">
            <v>38492</v>
          </cell>
          <cell r="K363">
            <v>6117190</v>
          </cell>
          <cell r="L363" t="str">
            <v>国賓の車列については特殊運転技術が必要であること、また特に外交的配慮を必要とする賓客の接遇に関する業務であるため、過去に同様業務を請け負った経験があり、信頼のおける業者数社より見積もり招請の上業務を委嘱した（会計法第２９条の３第４項）。</v>
          </cell>
          <cell r="M363" t="str">
            <v>その他のもの</v>
          </cell>
          <cell r="N363" t="str">
            <v>随意契約によらざるを得ないもの</v>
          </cell>
          <cell r="O363" t="str">
            <v>全3件</v>
          </cell>
          <cell r="P363" t="str">
            <v>民×</v>
          </cell>
          <cell r="Q363" t="str">
            <v>民</v>
          </cell>
          <cell r="R363">
            <v>3</v>
          </cell>
          <cell r="S363" t="str">
            <v>民1</v>
          </cell>
          <cell r="U363" t="str">
            <v>民</v>
          </cell>
          <cell r="V363" t="str">
            <v>●</v>
          </cell>
          <cell r="AA363">
            <v>1700626</v>
          </cell>
          <cell r="AB363">
            <v>1</v>
          </cell>
          <cell r="AC363" t="str">
            <v>17J041</v>
          </cell>
          <cell r="AD363" t="str">
            <v>取扱注意</v>
          </cell>
          <cell r="AE363" t="str">
            <v>中南南</v>
          </cell>
          <cell r="AF363" t="str">
            <v>会計課調達室／サービス調達第２班</v>
          </cell>
          <cell r="AG363" t="str">
            <v>高出</v>
          </cell>
        </row>
        <row r="364">
          <cell r="A364" t="str">
            <v>民348</v>
          </cell>
          <cell r="B364">
            <v>654</v>
          </cell>
          <cell r="C364" t="str">
            <v>ｶﾌﾞﾏｲﾆﾁｴｲｶﾞ</v>
          </cell>
          <cell r="E364">
            <v>348</v>
          </cell>
          <cell r="F364" t="str">
            <v>株式会社毎日映画社</v>
          </cell>
          <cell r="G364" t="str">
            <v>東京都千代田区一ツ橋１－１－１</v>
          </cell>
          <cell r="H364" t="str">
            <v>航空機内での海外安全ビデオの放映</v>
          </cell>
          <cell r="I364" t="str">
            <v xml:space="preserve">
外務省大臣官房会計課長　上月豊久
東京都千代田区霞が関２－２－１</v>
          </cell>
          <cell r="J364">
            <v>38497</v>
          </cell>
          <cell r="K364">
            <v>6964650</v>
          </cell>
          <cell r="L36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64" t="str">
            <v>見直しの余地があるもの</v>
          </cell>
          <cell r="N364" t="str">
            <v>１８年度以降において当該事務・事業の委託等を行う予定のないもの</v>
          </cell>
          <cell r="P364" t="str">
            <v>民○</v>
          </cell>
          <cell r="Q364" t="str">
            <v>民</v>
          </cell>
          <cell r="R364" t="str">
            <v>○</v>
          </cell>
          <cell r="S364" t="str">
            <v>民18×</v>
          </cell>
          <cell r="U364" t="str">
            <v>民</v>
          </cell>
          <cell r="W364" t="str">
            <v>×</v>
          </cell>
          <cell r="AA364">
            <v>1700401</v>
          </cell>
          <cell r="AB364">
            <v>1</v>
          </cell>
          <cell r="AD364" t="str">
            <v>無指定</v>
          </cell>
          <cell r="AE364" t="str">
            <v>領安</v>
          </cell>
          <cell r="AF364" t="str">
            <v>会計課調達室／サービス調達第１班</v>
          </cell>
          <cell r="AG364" t="str">
            <v>村松</v>
          </cell>
        </row>
        <row r="365">
          <cell r="A365" t="str">
            <v>民349</v>
          </cell>
          <cell r="B365">
            <v>655</v>
          </cell>
          <cell r="C365" t="str">
            <v>ｶﾌﾞｱﾃﾅ</v>
          </cell>
          <cell r="E365">
            <v>349</v>
          </cell>
          <cell r="F365" t="str">
            <v>株式会社アテナ</v>
          </cell>
          <cell r="G365" t="str">
            <v>東京都江戸川区臨海町５－２－２</v>
          </cell>
          <cell r="H365" t="str">
            <v>国・公賓接遇に係る国旗掲揚諸業務（※５件）</v>
          </cell>
          <cell r="I365" t="str">
            <v xml:space="preserve">
外務省大臣官房会計課長　上月豊久
東京都千代田区霞が関２－２－１</v>
          </cell>
          <cell r="J365">
            <v>38497</v>
          </cell>
          <cell r="K365">
            <v>10539450</v>
          </cell>
          <cell r="L365" t="str">
            <v>国公賓等の接遇の際に必要となる一連の諸業務である、公式万国旗の製造・保管、配布・回収、街路旗のレンタル・取り付け・撤去・メンテナンス等の一括請負が可能な業者が他になく、競争を許さない（会計法第２９条の３第４項）。</v>
          </cell>
          <cell r="M365" t="str">
            <v>見直しの余地があるもの</v>
          </cell>
          <cell r="N365" t="str">
            <v>競争入札もしくは公募に移行（平成２０年度から実施予定）</v>
          </cell>
          <cell r="O365" t="str">
            <v>全5件</v>
          </cell>
          <cell r="P365" t="str">
            <v>民×</v>
          </cell>
          <cell r="Q365" t="str">
            <v>民</v>
          </cell>
          <cell r="R365">
            <v>5</v>
          </cell>
          <cell r="S365" t="str">
            <v>民20②</v>
          </cell>
          <cell r="U365" t="str">
            <v>民</v>
          </cell>
          <cell r="Y365" t="str">
            <v>①②</v>
          </cell>
          <cell r="AA365">
            <v>1700623</v>
          </cell>
          <cell r="AB365">
            <v>2</v>
          </cell>
          <cell r="AC365" t="str">
            <v>17J054</v>
          </cell>
          <cell r="AD365" t="str">
            <v>取扱注意</v>
          </cell>
          <cell r="AE365" t="str">
            <v>中南南</v>
          </cell>
          <cell r="AF365" t="str">
            <v>会計課調達室／サービス調達第２班</v>
          </cell>
          <cell r="AG365" t="str">
            <v>高出</v>
          </cell>
        </row>
        <row r="366">
          <cell r="A366" t="str">
            <v>民354</v>
          </cell>
          <cell r="B366">
            <v>660</v>
          </cell>
          <cell r="C366" t="str">
            <v>ｶﾌﾞｼｰｲｰｼｰ</v>
          </cell>
          <cell r="E366">
            <v>354</v>
          </cell>
          <cell r="F366" t="str">
            <v>株式会社シーイーシー</v>
          </cell>
          <cell r="G366" t="str">
            <v>東京都渋谷区恵比寿南１－５－５　</v>
          </cell>
          <cell r="H366" t="str">
            <v>「外交記録公開文書閲覧システムのデータ移行業務」に係るアプリケーション構築等業務請負</v>
          </cell>
          <cell r="I366" t="str">
            <v xml:space="preserve">
外務省大臣官房会計課長　上月豊久
東京都千代田区霞が関２－２－１</v>
          </cell>
          <cell r="J366">
            <v>38504</v>
          </cell>
          <cell r="K366">
            <v>3213000</v>
          </cell>
          <cell r="L366"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366" t="str">
            <v>見直しの余地があるもの</v>
          </cell>
          <cell r="N366" t="str">
            <v>１８年度において当該事務・事業の委託等を行う予定のないもの</v>
          </cell>
          <cell r="P366" t="str">
            <v>民×</v>
          </cell>
          <cell r="Q366" t="str">
            <v>民</v>
          </cell>
          <cell r="S366" t="str">
            <v>民18×</v>
          </cell>
          <cell r="U366" t="str">
            <v>民</v>
          </cell>
          <cell r="W366" t="str">
            <v>×</v>
          </cell>
          <cell r="AA366">
            <v>1700697</v>
          </cell>
          <cell r="AB366">
            <v>1</v>
          </cell>
          <cell r="AC366" t="str">
            <v>17G287</v>
          </cell>
          <cell r="AD366" t="str">
            <v>無指定</v>
          </cell>
          <cell r="AE366" t="str">
            <v>総</v>
          </cell>
          <cell r="AF366" t="str">
            <v>会計課調達室／サービス調達第３班</v>
          </cell>
          <cell r="AG366" t="str">
            <v>西村</v>
          </cell>
        </row>
        <row r="367">
          <cell r="A367" t="str">
            <v>民355</v>
          </cell>
          <cell r="B367">
            <v>661</v>
          </cell>
          <cell r="C367" t="str">
            <v>ﾄｸﾃｲﾋｴｲﾘｵｶｻﾞｷ</v>
          </cell>
          <cell r="E367">
            <v>355</v>
          </cell>
          <cell r="F367" t="str">
            <v>特定非営利活動法人岡崎研究所</v>
          </cell>
          <cell r="G367" t="str">
            <v>東京都港区虎ノ門１－１５－１６</v>
          </cell>
          <cell r="H367" t="str">
            <v>「主要国際問題についての米国各界の動向」委嘱調査</v>
          </cell>
          <cell r="I367" t="str">
            <v>外務省大臣官房会計課長　上月豊久　東京都千代田区霞が関２－２－１</v>
          </cell>
          <cell r="J367">
            <v>38505</v>
          </cell>
          <cell r="K367">
            <v>4886000</v>
          </cell>
          <cell r="L367" t="str">
            <v>当該研究所は、米国内の研究機関、政府関係者、有識者との幅広いネットワークを有し、国際政治・国際問題の専門家による調査体制を整えることができ、米公開情報のフォローを基にした調査という本件契約目的実施のために最適であると判断されることから、他に競争を許さない（会計法第２９条の３第４項）。</v>
          </cell>
          <cell r="M367" t="str">
            <v>見直しの余地があるもの</v>
          </cell>
          <cell r="N367" t="str">
            <v>企画招請を実施（１８年度以降）</v>
          </cell>
          <cell r="P367" t="str">
            <v>民×</v>
          </cell>
          <cell r="Q367" t="str">
            <v>民</v>
          </cell>
          <cell r="S367" t="str">
            <v>民18②</v>
          </cell>
          <cell r="U367" t="str">
            <v>民</v>
          </cell>
          <cell r="W367" t="str">
            <v>②</v>
          </cell>
          <cell r="AA367">
            <v>1700426</v>
          </cell>
          <cell r="AB367">
            <v>1</v>
          </cell>
          <cell r="AC367" t="str">
            <v>17G344</v>
          </cell>
          <cell r="AD367" t="str">
            <v>無指定</v>
          </cell>
          <cell r="AE367" t="str">
            <v>情報４</v>
          </cell>
          <cell r="AF367" t="str">
            <v>会計課調達室／サービス調達第１班</v>
          </cell>
          <cell r="AG367" t="str">
            <v>村松</v>
          </cell>
        </row>
        <row r="368">
          <cell r="A368" t="str">
            <v>民356</v>
          </cell>
          <cell r="B368">
            <v>662</v>
          </cell>
          <cell r="C368" t="str">
            <v>ｶﾌﾞｷｮｳｴｲ</v>
          </cell>
          <cell r="E368">
            <v>356</v>
          </cell>
          <cell r="F368" t="str">
            <v>株式会社教映社</v>
          </cell>
          <cell r="G368" t="str">
            <v>大阪府東淀川区西淡路６－４－１１１</v>
          </cell>
          <cell r="H368" t="str">
            <v>「第８回日西シンポジウム」開催業務委嘱</v>
          </cell>
          <cell r="I368" t="str">
            <v xml:space="preserve">
外務省大臣官房会計課長　上月豊久
東京都千代田区霞が関２－２－１</v>
          </cell>
          <cell r="J368">
            <v>38506</v>
          </cell>
          <cell r="K368">
            <v>2136740</v>
          </cell>
          <cell r="L368" t="str">
            <v>シンポジウムに出席する先方要人の日程変更により事前の入札手続きを行えなかったことから、緊急に随意契約を行ったもの（会計法第２９条の３第４項）。</v>
          </cell>
          <cell r="M368" t="str">
            <v>見直しの余地があるもの</v>
          </cell>
          <cell r="N368" t="str">
            <v>１８年度においては当該事務・事業の委託等を行う予定のないもの</v>
          </cell>
          <cell r="P368" t="str">
            <v>民×</v>
          </cell>
          <cell r="Q368" t="str">
            <v>民</v>
          </cell>
          <cell r="S368" t="str">
            <v>民18×</v>
          </cell>
          <cell r="U368" t="str">
            <v>民</v>
          </cell>
          <cell r="W368" t="str">
            <v>×</v>
          </cell>
          <cell r="AA368">
            <v>1700839</v>
          </cell>
          <cell r="AB368">
            <v>1</v>
          </cell>
          <cell r="AC368" t="str">
            <v>17G388</v>
          </cell>
          <cell r="AD368" t="str">
            <v>無指定</v>
          </cell>
          <cell r="AE368" t="str">
            <v>欧西欧</v>
          </cell>
          <cell r="AF368" t="str">
            <v>会計課調達室／サービス調達第２班</v>
          </cell>
          <cell r="AG368" t="str">
            <v>光山</v>
          </cell>
        </row>
        <row r="369">
          <cell r="A369" t="str">
            <v>民357</v>
          </cell>
          <cell r="B369">
            <v>663</v>
          </cell>
          <cell r="C369" t="str">
            <v>ｶﾌﾞﾄｳｷｮｳﾘｻｰﾁ</v>
          </cell>
          <cell r="E369">
            <v>357</v>
          </cell>
          <cell r="F369" t="str">
            <v>株式会社東京リサーチインターナショナル</v>
          </cell>
          <cell r="G369" t="str">
            <v>東京都千代田区丸の内１－８－２</v>
          </cell>
          <cell r="H369" t="str">
            <v>「対ロシア技術支援日本センター巡回講座・訪日研修」実施（ＷＴＯ加盟）</v>
          </cell>
          <cell r="I369" t="str">
            <v xml:space="preserve">
外務省大臣官房会計課長　上月豊久
東京都千代田区霞が関２－２－１</v>
          </cell>
          <cell r="J369">
            <v>38509</v>
          </cell>
          <cell r="K369">
            <v>14567445</v>
          </cell>
          <cell r="L36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69" t="str">
            <v>見直しの余地があるもの</v>
          </cell>
          <cell r="N369" t="str">
            <v>企画招請を実施（１８年度以降も引き続き実施）</v>
          </cell>
          <cell r="P369" t="str">
            <v>民○</v>
          </cell>
          <cell r="Q369" t="str">
            <v>民</v>
          </cell>
          <cell r="R369" t="str">
            <v>○</v>
          </cell>
          <cell r="S369" t="str">
            <v>民18②</v>
          </cell>
          <cell r="U369" t="str">
            <v>民</v>
          </cell>
          <cell r="W369" t="str">
            <v>②</v>
          </cell>
          <cell r="AA369">
            <v>1700808</v>
          </cell>
          <cell r="AB369">
            <v>1</v>
          </cell>
          <cell r="AC369" t="str">
            <v>17G361</v>
          </cell>
          <cell r="AD369" t="str">
            <v>無指定</v>
          </cell>
          <cell r="AE369" t="str">
            <v>欧支</v>
          </cell>
          <cell r="AF369" t="str">
            <v>会計課調達室／サービス調達第１班</v>
          </cell>
          <cell r="AG369" t="str">
            <v>村松</v>
          </cell>
        </row>
        <row r="370">
          <cell r="A370" t="str">
            <v>民358</v>
          </cell>
          <cell r="B370">
            <v>664</v>
          </cell>
          <cell r="C370" t="str">
            <v>ｺﾞｳｼｽｰｲﾝﾀｰ</v>
          </cell>
          <cell r="E370">
            <v>358</v>
          </cell>
          <cell r="F370" t="str">
            <v>合資会社　スー・インターナショナル</v>
          </cell>
          <cell r="G370" t="str">
            <v>新宿区三栄町９</v>
          </cell>
          <cell r="H370" t="str">
            <v>ＤＤＲ（武装解除・動員解除・元兵士の社会復帰）に関する研究委嘱にかかる経費の支出について</v>
          </cell>
          <cell r="I370" t="str">
            <v xml:space="preserve">
外務省大臣官房会計課長　上月豊久
東京都千代田区霞が関２－２－１</v>
          </cell>
          <cell r="J370">
            <v>38510</v>
          </cell>
          <cell r="K370">
            <v>3551740</v>
          </cell>
          <cell r="L370" t="str">
            <v>我が国においてＤＤＲに知見を有する専門家の人数が非常に限られている状況で、ＤＤＲ分野での有識者・専門家とのネットワークを有し、かつ、研究成果とりまとめまでの実務を行いうる者としては、契約相手先を置いて他になく競争を許さない(会計法第２９条の３第４項)。</v>
          </cell>
          <cell r="M370" t="str">
            <v>見直しの余地があるもの</v>
          </cell>
          <cell r="N370" t="str">
            <v>18年度において当該事務・事業の委託を行わないもの</v>
          </cell>
          <cell r="P370" t="str">
            <v>民×</v>
          </cell>
          <cell r="Q370" t="str">
            <v>民</v>
          </cell>
          <cell r="S370" t="str">
            <v>民18×</v>
          </cell>
          <cell r="U370" t="str">
            <v>民</v>
          </cell>
          <cell r="W370" t="str">
            <v>×</v>
          </cell>
          <cell r="AA370">
            <v>1700823</v>
          </cell>
          <cell r="AB370">
            <v>1</v>
          </cell>
          <cell r="AC370" t="str">
            <v>17G367</v>
          </cell>
          <cell r="AD370" t="str">
            <v>秘</v>
          </cell>
          <cell r="AE370" t="str">
            <v>総国</v>
          </cell>
          <cell r="AF370" t="str">
            <v>会計課調達室／サービス調達第２班</v>
          </cell>
          <cell r="AG370" t="str">
            <v>高出</v>
          </cell>
        </row>
        <row r="371">
          <cell r="A371" t="str">
            <v>民359</v>
          </cell>
          <cell r="B371">
            <v>665</v>
          </cell>
          <cell r="C371" t="str">
            <v>ﾎｯﾎﾟｳﾖﾝﾄｳ</v>
          </cell>
          <cell r="E371">
            <v>359</v>
          </cell>
          <cell r="F371" t="str">
            <v>北方四島交流北海道推進委員会</v>
          </cell>
          <cell r="G371" t="str">
            <v>北海道札幌市中央区北三条西６　</v>
          </cell>
          <cell r="H371" t="str">
            <v>「北方四島住民招へい事業」委嘱</v>
          </cell>
          <cell r="I371" t="str">
            <v xml:space="preserve">
外務省大臣官房会計課長　上月豊久
東京都千代田区霞が関２－２－１</v>
          </cell>
          <cell r="J371">
            <v>38513</v>
          </cell>
          <cell r="K371">
            <v>22467858</v>
          </cell>
          <cell r="L371" t="str">
            <v>契約相手先は北海道内における四島交流事業を実施するため、北海道庁を始め地元根室管内の自治体、北方領土返還運動団体が構成団体となり設立した団体である。四島在住ロシア人を招聘する北海道受け入れ事業が円滑に行われるためには北海道全体として同事業に取り組む事が必要であるが、かかる事業が実施可能な団体は他に存在しない。従って本事業は当該団体と協力して実施することが政策上不可欠である（会計法第２９条の３第４項）。</v>
          </cell>
          <cell r="M371" t="str">
            <v>その他のもの</v>
          </cell>
          <cell r="N371" t="str">
            <v>随意契約によらざるを得ないもの</v>
          </cell>
          <cell r="P371" t="str">
            <v>民×</v>
          </cell>
          <cell r="Q371" t="str">
            <v>民</v>
          </cell>
          <cell r="S371" t="str">
            <v>民1</v>
          </cell>
          <cell r="U371" t="str">
            <v>民</v>
          </cell>
          <cell r="V371" t="str">
            <v>●</v>
          </cell>
          <cell r="AA371">
            <v>1700765</v>
          </cell>
          <cell r="AB371">
            <v>1</v>
          </cell>
          <cell r="AC371" t="str">
            <v>17G323</v>
          </cell>
          <cell r="AD371" t="str">
            <v>無指定</v>
          </cell>
          <cell r="AE371" t="str">
            <v>欧ロ</v>
          </cell>
          <cell r="AF371" t="str">
            <v>会計課調達室／サービス調達第２班</v>
          </cell>
          <cell r="AG371" t="str">
            <v>和田</v>
          </cell>
        </row>
        <row r="372">
          <cell r="A372" t="str">
            <v>民360</v>
          </cell>
          <cell r="B372">
            <v>666</v>
          </cell>
          <cell r="C372" t="str">
            <v>ｶﾌﾞﾒｲﾃﾞﾝ</v>
          </cell>
          <cell r="E372">
            <v>360</v>
          </cell>
          <cell r="F372" t="str">
            <v>株式会社明電舎</v>
          </cell>
          <cell r="G372" t="str">
            <v>東京都品川区大崎３－７－９</v>
          </cell>
          <cell r="H372" t="str">
            <v>庁舎受変電設備点検・整備工事</v>
          </cell>
          <cell r="I372" t="str">
            <v>外務省大臣官房会計課長　上月豊久　東京都千代田区霞が関２－２－１</v>
          </cell>
          <cell r="J372">
            <v>38513</v>
          </cell>
          <cell r="K372">
            <v>19845000</v>
          </cell>
          <cell r="L372" t="str">
            <v>点検対象設備の設置工事を行った会社が同設備の点検・整備を行うものであり、機器に精通していること、部品の調達力作業の確実性等考えれば、他に競争を許さない（会計法第２９条の３第４項）。</v>
          </cell>
          <cell r="M372" t="str">
            <v>見直しの余地があるもの</v>
          </cell>
          <cell r="N372" t="str">
            <v>競争入札への移行を検討(平成２０年度以降検討）</v>
          </cell>
          <cell r="P372" t="str">
            <v>民×</v>
          </cell>
          <cell r="Q372" t="str">
            <v>民</v>
          </cell>
          <cell r="S372" t="str">
            <v>民20①</v>
          </cell>
          <cell r="U372" t="str">
            <v>民</v>
          </cell>
          <cell r="Y372" t="str">
            <v>①</v>
          </cell>
          <cell r="AA372">
            <v>1700857</v>
          </cell>
          <cell r="AB372">
            <v>1</v>
          </cell>
          <cell r="AC372" t="str">
            <v>17Q327</v>
          </cell>
          <cell r="AD372" t="str">
            <v>無指定</v>
          </cell>
          <cell r="AE372" t="str">
            <v>会</v>
          </cell>
          <cell r="AF372" t="str">
            <v>会計課調達室／政府調達班</v>
          </cell>
          <cell r="AG372" t="str">
            <v>石井</v>
          </cell>
        </row>
        <row r="373">
          <cell r="A373" t="str">
            <v>民361</v>
          </cell>
          <cell r="B373">
            <v>667</v>
          </cell>
          <cell r="C373" t="str">
            <v>ｶﾌﾞﾄｰｴ</v>
          </cell>
          <cell r="E373">
            <v>361</v>
          </cell>
          <cell r="F373" t="str">
            <v>株式会社トーエネック　</v>
          </cell>
          <cell r="G373" t="str">
            <v>東京都豊島区巣鴨１－３－１１</v>
          </cell>
          <cell r="H373" t="str">
            <v>庁舎受変電設備点検・整備工事</v>
          </cell>
          <cell r="I373" t="str">
            <v>外務省大臣官房会計課長　上月豊久　東京都千代田区霞が関２－２－１</v>
          </cell>
          <cell r="J373">
            <v>38513</v>
          </cell>
          <cell r="K373">
            <v>25609500</v>
          </cell>
          <cell r="L373" t="str">
            <v>点検対象設備の設置工事を行った会社が同設備の点検・整備を行うものであり、機器に精通していること、部品の調達力作業の確実性等考えれば、他に競争を許さない（会計法第２９条の３第４項）。</v>
          </cell>
          <cell r="M373" t="str">
            <v>見直しの余地があるもの</v>
          </cell>
          <cell r="N373" t="str">
            <v>競争入札への移行を検討(平成２０年度以降検討）</v>
          </cell>
          <cell r="P373" t="str">
            <v>民×</v>
          </cell>
          <cell r="Q373" t="str">
            <v>民</v>
          </cell>
          <cell r="S373" t="str">
            <v>民20①</v>
          </cell>
          <cell r="U373" t="str">
            <v>民</v>
          </cell>
          <cell r="Y373" t="str">
            <v>①</v>
          </cell>
          <cell r="AA373">
            <v>1700857</v>
          </cell>
          <cell r="AB373">
            <v>2</v>
          </cell>
          <cell r="AC373" t="str">
            <v>17Q327</v>
          </cell>
          <cell r="AD373" t="str">
            <v>無指定</v>
          </cell>
          <cell r="AE373" t="str">
            <v>会</v>
          </cell>
          <cell r="AF373" t="str">
            <v>会計課調達室／政府調達班</v>
          </cell>
          <cell r="AG373" t="str">
            <v>石井</v>
          </cell>
        </row>
        <row r="374">
          <cell r="A374" t="str">
            <v>民362</v>
          </cell>
          <cell r="B374">
            <v>668</v>
          </cell>
          <cell r="C374" t="str">
            <v>ｸﾞﾝﾏﾀﾞｲｶﾞｸ</v>
          </cell>
          <cell r="E374">
            <v>362</v>
          </cell>
          <cell r="F374" t="str">
            <v>群馬大学大学院教授</v>
          </cell>
          <cell r="G374" t="str">
            <v>群馬県前橋市昭和町３－３９－２２</v>
          </cell>
          <cell r="H374" t="str">
            <v>原子力科学技術に関する研究、開発及び訓練のための地域協力協定（ＲＣＡ）の保健分野における国内対応委員会開催業務委嘱</v>
          </cell>
          <cell r="I374" t="str">
            <v>外務省大臣官房会計課長　上月豊久　東京都千代田区霞が関２－２－１</v>
          </cell>
          <cell r="J374">
            <v>38513</v>
          </cell>
          <cell r="K374">
            <v>1731000</v>
          </cell>
          <cell r="L374" t="str">
            <v>我が国は2005年よりRCA保健分野のﾘｰﾄﾞｶﾝﾄﾘｰ（以下LC）を務めており、RCA協定等に基づき、医学分野、特に我が国が重点を置いている放射線治療技術においてﾄｯﾌﾟｸﾗｽの技術および実績を有する群馬大学大学院教授にLCｺｰﾃﾞｨﾈｰﾀｰを委嘱している。本件契約は同教授が任務を円滑に実施するために設置された同教授を委員長とする国内対応委員会を運営するための事務的経費であり、他の者への委嘱は不可能。（会計法第２９条の３第４項）</v>
          </cell>
          <cell r="M374" t="str">
            <v>その他のもの</v>
          </cell>
          <cell r="N374" t="str">
            <v>随意契約によらざるを得ないもの</v>
          </cell>
          <cell r="P374" t="str">
            <v>民×</v>
          </cell>
          <cell r="Q374" t="str">
            <v>民</v>
          </cell>
          <cell r="S374" t="str">
            <v>民1</v>
          </cell>
          <cell r="U374" t="str">
            <v>民</v>
          </cell>
          <cell r="V374" t="str">
            <v>●</v>
          </cell>
          <cell r="AA374">
            <v>1700804</v>
          </cell>
          <cell r="AB374">
            <v>1</v>
          </cell>
          <cell r="AC374" t="str">
            <v>17G385</v>
          </cell>
          <cell r="AD374" t="str">
            <v>取扱注意</v>
          </cell>
          <cell r="AE374" t="str">
            <v>軍原協</v>
          </cell>
          <cell r="AF374" t="str">
            <v>会計課調達室／サービス調達第１班</v>
          </cell>
          <cell r="AG374" t="str">
            <v>竹澤</v>
          </cell>
        </row>
        <row r="375">
          <cell r="A375" t="str">
            <v>民363</v>
          </cell>
          <cell r="B375">
            <v>669</v>
          </cell>
          <cell r="C375" t="str">
            <v>ﾄｸﾃｲﾋｴｲﾘｲﾝﾀｰ</v>
          </cell>
          <cell r="E375">
            <v>363</v>
          </cell>
          <cell r="F375" t="str">
            <v>特定非営利活動法人インターアクション・カウンシル日本委員会</v>
          </cell>
          <cell r="G375" t="str">
            <v>東京都港区六本木３－１６－１３－６０９</v>
          </cell>
          <cell r="H375" t="str">
            <v>「元老会議（インターアクション・カウンシル）年次総会」開催業務委嘱</v>
          </cell>
          <cell r="I375" t="str">
            <v xml:space="preserve">
外務省大臣官房会計課長　上月豊久
東京都千代田区霞が関２－２－１</v>
          </cell>
          <cell r="J375">
            <v>38513</v>
          </cell>
          <cell r="K375">
            <v>37647731</v>
          </cell>
          <cell r="L375" t="str">
            <v>契約相手先は本件会議発足以来事務局を務めている団体であり、今次会議開催において十分な成果を期待できるのは同団体のみであると考えられる（会計法第２９条の３第４項）。</v>
          </cell>
          <cell r="M375" t="str">
            <v>その他のもの</v>
          </cell>
          <cell r="N375" t="str">
            <v>随意契約によらざるを得ないもの</v>
          </cell>
          <cell r="P375" t="str">
            <v>民×</v>
          </cell>
          <cell r="Q375" t="str">
            <v>民</v>
          </cell>
          <cell r="S375" t="str">
            <v>民1</v>
          </cell>
          <cell r="U375" t="str">
            <v>民</v>
          </cell>
          <cell r="V375" t="str">
            <v>●</v>
          </cell>
          <cell r="AA375">
            <v>1700840</v>
          </cell>
          <cell r="AB375">
            <v>1</v>
          </cell>
          <cell r="AC375" t="str">
            <v>17G408</v>
          </cell>
          <cell r="AD375" t="str">
            <v>無指定</v>
          </cell>
          <cell r="AE375" t="str">
            <v>総企</v>
          </cell>
          <cell r="AF375" t="str">
            <v>会計課調達室／サービス調達第２班</v>
          </cell>
          <cell r="AG375" t="str">
            <v>光山</v>
          </cell>
        </row>
        <row r="376">
          <cell r="A376" t="str">
            <v>民364</v>
          </cell>
          <cell r="B376">
            <v>670</v>
          </cell>
          <cell r="C376" t="str">
            <v>ｶﾌﾞﾀｲ</v>
          </cell>
          <cell r="E376">
            <v>364</v>
          </cell>
          <cell r="F376" t="str">
            <v>株式会社太陽美術</v>
          </cell>
          <cell r="G376" t="str">
            <v>東京都江東区清澄２－７－１１</v>
          </cell>
          <cell r="H376" t="str">
            <v>「外交青書」の印刷・製本及び販売等の許可</v>
          </cell>
          <cell r="I376" t="str">
            <v xml:space="preserve">
外務省大臣官房会計課長　上月豊久
東京都千代田区霞が関２－２－１</v>
          </cell>
          <cell r="J376">
            <v>38516</v>
          </cell>
          <cell r="K376">
            <v>6350000</v>
          </cell>
          <cell r="L376" t="str">
            <v>１６年度に実施した一般競争入札で契約した「閣議用外交青書」作成業者との間で１７年度版外交青書の作成に係る随意契約を行うもの。作業日数の短縮化、作業効率化、購入価格の節約にもつながる事から他に競争を許さない（会計法第２９条の３第４項）。</v>
          </cell>
          <cell r="M376" t="str">
            <v>見直しの余地があるもの</v>
          </cell>
          <cell r="N376" t="str">
            <v>競争入札へ移行（平成１８年度。国庫債務負担行為を適用し、複数年度契約締結予定）</v>
          </cell>
          <cell r="P376" t="str">
            <v>民×</v>
          </cell>
          <cell r="Q376" t="str">
            <v>民</v>
          </cell>
          <cell r="S376" t="str">
            <v>民18①</v>
          </cell>
          <cell r="U376" t="str">
            <v>民</v>
          </cell>
          <cell r="W376" t="str">
            <v>①</v>
          </cell>
          <cell r="AA376">
            <v>1700753</v>
          </cell>
          <cell r="AB376">
            <v>1</v>
          </cell>
          <cell r="AC376" t="str">
            <v>17X132</v>
          </cell>
          <cell r="AD376" t="str">
            <v>無指定</v>
          </cell>
          <cell r="AE376" t="str">
            <v>総企</v>
          </cell>
          <cell r="AF376" t="str">
            <v>会計課調達室／物品調達班</v>
          </cell>
          <cell r="AG376" t="str">
            <v>宮田</v>
          </cell>
        </row>
        <row r="377">
          <cell r="A377" t="str">
            <v>民365</v>
          </cell>
          <cell r="B377">
            <v>671</v>
          </cell>
          <cell r="C377" t="str">
            <v>ﾋﾀﾁｲﾝﾀｰ</v>
          </cell>
          <cell r="E377">
            <v>365</v>
          </cell>
          <cell r="F377" t="str">
            <v>日立インターメディックス株式会社</v>
          </cell>
          <cell r="G377" t="str">
            <v>東京都千代田区神田錦町２－１－５</v>
          </cell>
          <cell r="H377" t="str">
            <v>海外安全キャンペーン</v>
          </cell>
          <cell r="I377" t="str">
            <v xml:space="preserve">
外務省大臣官房会計課長　上月豊久
東京都千代田区霞が関２－２－１</v>
          </cell>
          <cell r="J377">
            <v>38516</v>
          </cell>
          <cell r="K377">
            <v>29998080</v>
          </cell>
          <cell r="L377" t="str">
            <v>公示の上、資料提供企画招請を行い、提出された企画書審査等を通じ企画内容・見積額等により判断し、同社が最も高い評価を得て確実な業務の履行が可能であると認められたもの（会計法第２９条の３第４項、特定政令に該当）</v>
          </cell>
          <cell r="M377" t="str">
            <v>見直しの余地があるもの</v>
          </cell>
          <cell r="N377" t="str">
            <v>企画招請を実施（１８年度以降も引き続き実施）</v>
          </cell>
          <cell r="P377" t="str">
            <v>民○</v>
          </cell>
          <cell r="Q377" t="str">
            <v>民</v>
          </cell>
          <cell r="R377" t="str">
            <v>○</v>
          </cell>
          <cell r="S377" t="str">
            <v>民18②</v>
          </cell>
          <cell r="U377" t="str">
            <v>民</v>
          </cell>
          <cell r="W377" t="str">
            <v>②</v>
          </cell>
          <cell r="AA377">
            <v>1701054</v>
          </cell>
          <cell r="AB377">
            <v>1</v>
          </cell>
          <cell r="AC377" t="str">
            <v>17X205</v>
          </cell>
          <cell r="AD377" t="str">
            <v>無指定</v>
          </cell>
          <cell r="AE377" t="str">
            <v>領安</v>
          </cell>
          <cell r="AF377" t="str">
            <v>会計課調達室／サービス調達第１班</v>
          </cell>
          <cell r="AG377" t="str">
            <v>村松</v>
          </cell>
        </row>
        <row r="378">
          <cell r="A378" t="str">
            <v>民366</v>
          </cell>
          <cell r="B378">
            <v>672</v>
          </cell>
          <cell r="C378" t="str">
            <v>ﾄｸﾃｲﾋｴｲﾘｱﾌﾘｶ</v>
          </cell>
          <cell r="E378">
            <v>366</v>
          </cell>
          <cell r="F378" t="str">
            <v>特定非営利活動法人アフリカ日本協議会</v>
          </cell>
          <cell r="G378" t="str">
            <v>東京都台東区東上野１－２０－６</v>
          </cell>
          <cell r="H378" t="str">
            <v>「ＮＧＯ相談員制度」業務委嘱</v>
          </cell>
          <cell r="I378" t="str">
            <v>外務省大臣官房会計課長　上月豊久　東京都千代田区霞が関２－２－１</v>
          </cell>
          <cell r="J378">
            <v>38518</v>
          </cell>
          <cell r="K378">
            <v>2230800</v>
          </cell>
          <cell r="L378"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78" t="str">
            <v>見直しの余地があるもの</v>
          </cell>
          <cell r="N378" t="str">
            <v>企画招請を実施（１８年度以降も引き続き実施）</v>
          </cell>
          <cell r="P378" t="str">
            <v>民○</v>
          </cell>
          <cell r="Q378" t="str">
            <v>民</v>
          </cell>
          <cell r="R378" t="str">
            <v>○</v>
          </cell>
          <cell r="S378" t="str">
            <v>民18②</v>
          </cell>
          <cell r="U378" t="str">
            <v>民</v>
          </cell>
          <cell r="W378" t="str">
            <v>②</v>
          </cell>
          <cell r="AA378">
            <v>1700836</v>
          </cell>
          <cell r="AB378">
            <v>3</v>
          </cell>
          <cell r="AC378" t="str">
            <v>17G415</v>
          </cell>
          <cell r="AD378" t="str">
            <v>無指定</v>
          </cell>
          <cell r="AE378" t="str">
            <v>経協民</v>
          </cell>
          <cell r="AF378" t="str">
            <v>会計課調達室／サービス調達第１班</v>
          </cell>
          <cell r="AG378" t="str">
            <v>村松</v>
          </cell>
        </row>
        <row r="379">
          <cell r="A379" t="str">
            <v>民367</v>
          </cell>
          <cell r="B379">
            <v>673</v>
          </cell>
          <cell r="C379" t="str">
            <v>ﾆﾎﾝﾐﾝｻｲ</v>
          </cell>
          <cell r="E379">
            <v>367</v>
          </cell>
          <cell r="F379" t="str">
            <v>日本民際交流センター</v>
          </cell>
          <cell r="G379" t="str">
            <v>東京都新宿区早稲田鶴巻町５１８</v>
          </cell>
          <cell r="H379" t="str">
            <v>「ＮＧＯ相談員制度」業務委嘱</v>
          </cell>
          <cell r="I379" t="str">
            <v>外務省大臣官房会計課長　上月豊久　東京都千代田区霞が関２－２－１</v>
          </cell>
          <cell r="J379">
            <v>38518</v>
          </cell>
          <cell r="K379">
            <v>2230800</v>
          </cell>
          <cell r="L37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79" t="str">
            <v>見直しの余地があるもの</v>
          </cell>
          <cell r="N379" t="str">
            <v>企画招請を実施（１８年度以降も引き続き実施）</v>
          </cell>
          <cell r="P379" t="str">
            <v>民○</v>
          </cell>
          <cell r="Q379" t="str">
            <v>民</v>
          </cell>
          <cell r="R379" t="str">
            <v>○</v>
          </cell>
          <cell r="S379" t="str">
            <v>民18②</v>
          </cell>
          <cell r="U379" t="str">
            <v>民</v>
          </cell>
          <cell r="W379" t="str">
            <v>②</v>
          </cell>
          <cell r="AA379">
            <v>1700836</v>
          </cell>
          <cell r="AB379">
            <v>7</v>
          </cell>
          <cell r="AC379" t="str">
            <v>17G415</v>
          </cell>
          <cell r="AD379" t="str">
            <v>無指定</v>
          </cell>
          <cell r="AE379" t="str">
            <v>経協民</v>
          </cell>
          <cell r="AF379" t="str">
            <v>会計課調達室／サービス調達第１班</v>
          </cell>
          <cell r="AG379" t="str">
            <v>村松</v>
          </cell>
        </row>
        <row r="380">
          <cell r="A380" t="str">
            <v>民368</v>
          </cell>
          <cell r="B380">
            <v>674</v>
          </cell>
          <cell r="C380" t="str">
            <v>ﾄｸﾃｲﾋｴｲﾘﾅｺﾞﾔ</v>
          </cell>
          <cell r="E380">
            <v>368</v>
          </cell>
          <cell r="F380" t="str">
            <v>特定非営利活動法人名古屋ＮＧＯセンター</v>
          </cell>
          <cell r="G380" t="str">
            <v>愛知県名古屋市中村区名駅南１－２０－１１</v>
          </cell>
          <cell r="H380" t="str">
            <v>「ＮＧＯ相談員制度」業務委嘱</v>
          </cell>
          <cell r="I380" t="str">
            <v>外務省大臣官房会計課長　上月豊久　東京都千代田区霞が関２－２－１</v>
          </cell>
          <cell r="J380">
            <v>38518</v>
          </cell>
          <cell r="K380">
            <v>2230800</v>
          </cell>
          <cell r="L380"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0" t="str">
            <v>見直しの余地があるもの</v>
          </cell>
          <cell r="N380" t="str">
            <v>企画招請を実施（１８年度以降も引き続き実施）</v>
          </cell>
          <cell r="P380" t="str">
            <v>民○</v>
          </cell>
          <cell r="Q380" t="str">
            <v>民</v>
          </cell>
          <cell r="R380" t="str">
            <v>○</v>
          </cell>
          <cell r="S380" t="str">
            <v>民18②</v>
          </cell>
          <cell r="U380" t="str">
            <v>民</v>
          </cell>
          <cell r="W380" t="str">
            <v>②</v>
          </cell>
          <cell r="AA380">
            <v>1700836</v>
          </cell>
          <cell r="AB380">
            <v>8</v>
          </cell>
          <cell r="AC380" t="str">
            <v>17G415</v>
          </cell>
          <cell r="AD380" t="str">
            <v>無指定</v>
          </cell>
          <cell r="AE380" t="str">
            <v>経協民</v>
          </cell>
          <cell r="AF380" t="str">
            <v>会計課調達室／サービス調達第１班</v>
          </cell>
          <cell r="AG380" t="str">
            <v>村松</v>
          </cell>
        </row>
        <row r="381">
          <cell r="A381" t="str">
            <v>民369</v>
          </cell>
          <cell r="B381">
            <v>675</v>
          </cell>
          <cell r="C381" t="str">
            <v>ﾄｸﾃｲﾋｴｲﾘｶﾝｻｲ</v>
          </cell>
          <cell r="E381">
            <v>369</v>
          </cell>
          <cell r="F381" t="str">
            <v>特定非営利活動法人関西ＮＧＯ協議会</v>
          </cell>
          <cell r="G381" t="str">
            <v>大阪府大阪市北区茶屋町２－３０</v>
          </cell>
          <cell r="H381" t="str">
            <v>「ＮＧＯ相談員制度」業務委嘱</v>
          </cell>
          <cell r="I381" t="str">
            <v>外務省大臣官房会計課長　上月豊久　東京都千代田区霞が関２－２－１</v>
          </cell>
          <cell r="J381">
            <v>38518</v>
          </cell>
          <cell r="K381">
            <v>2230800</v>
          </cell>
          <cell r="L381"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1" t="str">
            <v>見直しの余地があるもの</v>
          </cell>
          <cell r="N381" t="str">
            <v>企画招請を実施（１８年度以降も引き続き実施）</v>
          </cell>
          <cell r="P381" t="str">
            <v>民○</v>
          </cell>
          <cell r="Q381" t="str">
            <v>民</v>
          </cell>
          <cell r="R381" t="str">
            <v>○</v>
          </cell>
          <cell r="S381" t="str">
            <v>民18②</v>
          </cell>
          <cell r="U381" t="str">
            <v>民</v>
          </cell>
          <cell r="W381" t="str">
            <v>②</v>
          </cell>
          <cell r="AA381">
            <v>1700836</v>
          </cell>
          <cell r="AB381">
            <v>9</v>
          </cell>
          <cell r="AC381" t="str">
            <v>17G415</v>
          </cell>
          <cell r="AD381" t="str">
            <v>無指定</v>
          </cell>
          <cell r="AE381" t="str">
            <v>経協民</v>
          </cell>
          <cell r="AF381" t="str">
            <v>会計課調達室／サービス調達第１班</v>
          </cell>
          <cell r="AG381" t="str">
            <v>村松</v>
          </cell>
        </row>
        <row r="382">
          <cell r="A382" t="str">
            <v>民370</v>
          </cell>
          <cell r="B382">
            <v>676</v>
          </cell>
          <cell r="C382" t="str">
            <v>ｻﾞｲﾋﾟｰﾍｲﾁﾃﾞｨｰ</v>
          </cell>
          <cell r="E382">
            <v>370</v>
          </cell>
          <cell r="F382" t="str">
            <v>財団法人ＰＨＤ協会</v>
          </cell>
          <cell r="G382" t="str">
            <v>兵庫県神戸市中央区元町通５ー４ー３</v>
          </cell>
          <cell r="H382" t="str">
            <v>「ＮＧＯ相談員制度」業務委嘱</v>
          </cell>
          <cell r="I382" t="str">
            <v>外務省大臣官房会計課長　上月豊久　東京都千代田区霞が関２－２－１</v>
          </cell>
          <cell r="J382">
            <v>38518</v>
          </cell>
          <cell r="K382">
            <v>2230800</v>
          </cell>
          <cell r="L382"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2" t="str">
            <v>見直しの余地があるもの</v>
          </cell>
          <cell r="N382" t="str">
            <v>企画招請を実施（１８年度以降も引き続き実施）</v>
          </cell>
          <cell r="P382" t="str">
            <v>民○</v>
          </cell>
          <cell r="Q382" t="str">
            <v>民</v>
          </cell>
          <cell r="R382" t="str">
            <v>○</v>
          </cell>
          <cell r="S382" t="str">
            <v>民18②</v>
          </cell>
          <cell r="U382" t="str">
            <v>民</v>
          </cell>
          <cell r="W382" t="str">
            <v>②</v>
          </cell>
          <cell r="AA382">
            <v>1700836</v>
          </cell>
          <cell r="AB382">
            <v>12</v>
          </cell>
          <cell r="AC382" t="str">
            <v>17G415</v>
          </cell>
          <cell r="AD382" t="str">
            <v>無指定</v>
          </cell>
          <cell r="AE382" t="str">
            <v>経協民</v>
          </cell>
          <cell r="AF382" t="str">
            <v>会計課調達室／サービス調達第１班</v>
          </cell>
          <cell r="AG382" t="str">
            <v>村松</v>
          </cell>
        </row>
        <row r="383">
          <cell r="A383" t="str">
            <v>民371</v>
          </cell>
          <cell r="B383">
            <v>677</v>
          </cell>
          <cell r="C383" t="str">
            <v>ﾄｸﾃｲﾋｴｲﾘｴｰｴﾑ</v>
          </cell>
          <cell r="E383">
            <v>371</v>
          </cell>
          <cell r="F383" t="str">
            <v>特定非営利活動法人ＡＭＤＡ</v>
          </cell>
          <cell r="G383" t="str">
            <v>岡山県岡山市楢津３１０－１</v>
          </cell>
          <cell r="H383" t="str">
            <v>「ＮＧＯ相談員制度」業務委嘱</v>
          </cell>
          <cell r="I383" t="str">
            <v>外務省大臣官房会計課長　上月豊久　東京都千代田区霞が関２－２－１</v>
          </cell>
          <cell r="J383">
            <v>38518</v>
          </cell>
          <cell r="K383">
            <v>2230800</v>
          </cell>
          <cell r="L383"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3" t="str">
            <v>見直しの余地があるもの</v>
          </cell>
          <cell r="N383" t="str">
            <v>企画招請を実施（１８年度以降も引き続き実施）</v>
          </cell>
          <cell r="P383" t="str">
            <v>民○</v>
          </cell>
          <cell r="Q383" t="str">
            <v>民</v>
          </cell>
          <cell r="R383" t="str">
            <v>○</v>
          </cell>
          <cell r="S383" t="str">
            <v>民18②</v>
          </cell>
          <cell r="U383" t="str">
            <v>民</v>
          </cell>
          <cell r="W383" t="str">
            <v>②</v>
          </cell>
          <cell r="AA383">
            <v>1700836</v>
          </cell>
          <cell r="AB383">
            <v>13</v>
          </cell>
          <cell r="AC383" t="str">
            <v>17G415</v>
          </cell>
          <cell r="AD383" t="str">
            <v>無指定</v>
          </cell>
          <cell r="AE383" t="str">
            <v>経協民</v>
          </cell>
          <cell r="AF383" t="str">
            <v>会計課調達室／サービス調達第１班</v>
          </cell>
          <cell r="AG383" t="str">
            <v>村松</v>
          </cell>
        </row>
        <row r="384">
          <cell r="A384" t="str">
            <v>民372</v>
          </cell>
          <cell r="B384">
            <v>678</v>
          </cell>
          <cell r="C384" t="str">
            <v>ｴﾋﾒ</v>
          </cell>
          <cell r="E384">
            <v>372</v>
          </cell>
          <cell r="F384" t="str">
            <v>えひめグローバルネットワーク</v>
          </cell>
          <cell r="G384" t="str">
            <v>愛媛県松山市祝谷４－１－１３</v>
          </cell>
          <cell r="H384" t="str">
            <v>「ＮＧＯ相談員制度」業務委嘱</v>
          </cell>
          <cell r="I384" t="str">
            <v>外務省大臣官房会計課長　上月豊久　東京都千代田区霞が関２－２－１</v>
          </cell>
          <cell r="J384">
            <v>38518</v>
          </cell>
          <cell r="K384">
            <v>2230800</v>
          </cell>
          <cell r="L38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4" t="str">
            <v>見直しの余地があるもの</v>
          </cell>
          <cell r="N384" t="str">
            <v>企画招請を実施（１８年度以降も引き続き実施）</v>
          </cell>
          <cell r="P384" t="str">
            <v>民○</v>
          </cell>
          <cell r="Q384" t="str">
            <v>民</v>
          </cell>
          <cell r="R384" t="str">
            <v>○</v>
          </cell>
          <cell r="S384" t="str">
            <v>民18②</v>
          </cell>
          <cell r="U384" t="str">
            <v>民</v>
          </cell>
          <cell r="W384" t="str">
            <v>②</v>
          </cell>
          <cell r="AA384">
            <v>1700836</v>
          </cell>
          <cell r="AB384">
            <v>14</v>
          </cell>
          <cell r="AC384" t="str">
            <v>17G415</v>
          </cell>
          <cell r="AD384" t="str">
            <v>無指定</v>
          </cell>
          <cell r="AE384" t="str">
            <v>経協民</v>
          </cell>
          <cell r="AF384" t="str">
            <v>会計課調達室／サービス調達第１班</v>
          </cell>
          <cell r="AG384" t="str">
            <v>村松</v>
          </cell>
        </row>
        <row r="385">
          <cell r="A385" t="str">
            <v>民373</v>
          </cell>
          <cell r="B385">
            <v>679</v>
          </cell>
          <cell r="C385" t="str">
            <v>ｴﾇｼﾞｰｵｰﾌｸｵｶﾈｯﾄ</v>
          </cell>
          <cell r="E385">
            <v>373</v>
          </cell>
          <cell r="F385" t="str">
            <v>ＮＧＯ福岡ネットワーク　</v>
          </cell>
          <cell r="G385" t="str">
            <v>福岡県福岡市中央区舞鶴２－８－１５　</v>
          </cell>
          <cell r="H385" t="str">
            <v>「ＮＧＯ相談員制度」業務委嘱</v>
          </cell>
          <cell r="I385" t="str">
            <v>外務省大臣官房会計課長　上月豊久　東京都千代田区霞が関２－２－１</v>
          </cell>
          <cell r="J385">
            <v>38518</v>
          </cell>
          <cell r="K385">
            <v>2230800</v>
          </cell>
          <cell r="L385"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5" t="str">
            <v>見直しの余地があるもの</v>
          </cell>
          <cell r="N385" t="str">
            <v>企画招請を実施（１８年度以降も引き続き実施）</v>
          </cell>
          <cell r="P385" t="str">
            <v>民○</v>
          </cell>
          <cell r="Q385" t="str">
            <v>民</v>
          </cell>
          <cell r="R385" t="str">
            <v>○</v>
          </cell>
          <cell r="S385" t="str">
            <v>民18②</v>
          </cell>
          <cell r="U385" t="str">
            <v>民</v>
          </cell>
          <cell r="W385" t="str">
            <v>②</v>
          </cell>
          <cell r="AA385">
            <v>1700836</v>
          </cell>
          <cell r="AB385">
            <v>15</v>
          </cell>
          <cell r="AC385" t="str">
            <v>17G415</v>
          </cell>
          <cell r="AD385" t="str">
            <v>無指定</v>
          </cell>
          <cell r="AE385" t="str">
            <v>経協民</v>
          </cell>
          <cell r="AF385" t="str">
            <v>会計課調達室／サービス調達第１班</v>
          </cell>
          <cell r="AG385" t="str">
            <v>村松</v>
          </cell>
        </row>
        <row r="386">
          <cell r="A386" t="str">
            <v>民374</v>
          </cell>
          <cell r="B386">
            <v>680</v>
          </cell>
          <cell r="C386" t="str">
            <v>ｵｷﾅﾜｴﾇｼﾞｰｵｰ</v>
          </cell>
          <cell r="E386">
            <v>374</v>
          </cell>
          <cell r="F386" t="str">
            <v>沖縄ＮＧＯ活動推進協議会</v>
          </cell>
          <cell r="G386" t="str">
            <v>沖縄県宜野湾市普天間１ー２６－３</v>
          </cell>
          <cell r="H386" t="str">
            <v>「ＮＧＯ相談員制度」業務委嘱</v>
          </cell>
          <cell r="I386" t="str">
            <v>外務省大臣官房会計課長　上月豊久　東京都千代田区霞が関２－２－１</v>
          </cell>
          <cell r="J386">
            <v>38518</v>
          </cell>
          <cell r="K386">
            <v>2230800</v>
          </cell>
          <cell r="L386"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6" t="str">
            <v>見直しの余地があるもの</v>
          </cell>
          <cell r="N386" t="str">
            <v>企画招請を実施（１８年度以降も引き続き実施）</v>
          </cell>
          <cell r="P386" t="str">
            <v>民○</v>
          </cell>
          <cell r="Q386" t="str">
            <v>民</v>
          </cell>
          <cell r="R386" t="str">
            <v>○</v>
          </cell>
          <cell r="S386" t="str">
            <v>民18②</v>
          </cell>
          <cell r="U386" t="str">
            <v>民</v>
          </cell>
          <cell r="W386" t="str">
            <v>②</v>
          </cell>
          <cell r="AA386">
            <v>1700836</v>
          </cell>
          <cell r="AB386">
            <v>16</v>
          </cell>
          <cell r="AC386" t="str">
            <v>17G415</v>
          </cell>
          <cell r="AD386" t="str">
            <v>無指定</v>
          </cell>
          <cell r="AE386" t="str">
            <v>経協民</v>
          </cell>
          <cell r="AF386" t="str">
            <v>会計課調達室／サービス調達第１班</v>
          </cell>
          <cell r="AG386" t="str">
            <v>村松</v>
          </cell>
        </row>
        <row r="387">
          <cell r="A387" t="str">
            <v>民375</v>
          </cell>
          <cell r="B387">
            <v>681</v>
          </cell>
          <cell r="C387" t="str">
            <v>ﾄｸﾃｲﾋｴｲﾘｻｯﾎﾟﾛ</v>
          </cell>
          <cell r="E387">
            <v>375</v>
          </cell>
          <cell r="F387" t="str">
            <v>特定非営利活動法人さっぽろ自由学校「遊」</v>
          </cell>
          <cell r="G387" t="str">
            <v>北海道札幌市中央区南１条西５</v>
          </cell>
          <cell r="H387" t="str">
            <v>「ＮＧＯ相談員制度」業務委嘱</v>
          </cell>
          <cell r="I387" t="str">
            <v>外務省大臣官房会計課長　上月豊久　東京都千代田区霞が関２－２－１</v>
          </cell>
          <cell r="J387">
            <v>38518</v>
          </cell>
          <cell r="K387">
            <v>2342340</v>
          </cell>
          <cell r="L387"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7" t="str">
            <v>見直しの余地があるもの</v>
          </cell>
          <cell r="N387" t="str">
            <v>企画招請を実施（１８年度以降も引き続き実施）</v>
          </cell>
          <cell r="P387" t="str">
            <v>民○</v>
          </cell>
          <cell r="Q387" t="str">
            <v>民</v>
          </cell>
          <cell r="R387" t="str">
            <v>○</v>
          </cell>
          <cell r="S387" t="str">
            <v>民18②</v>
          </cell>
          <cell r="U387" t="str">
            <v>民</v>
          </cell>
          <cell r="W387" t="str">
            <v>②</v>
          </cell>
          <cell r="AA387">
            <v>1700836</v>
          </cell>
          <cell r="AB387">
            <v>1</v>
          </cell>
          <cell r="AC387" t="str">
            <v>17G415</v>
          </cell>
          <cell r="AD387" t="str">
            <v>無指定</v>
          </cell>
          <cell r="AE387" t="str">
            <v>経協民</v>
          </cell>
          <cell r="AF387" t="str">
            <v>会計課調達室／サービス調達第１班</v>
          </cell>
          <cell r="AG387" t="str">
            <v>村松</v>
          </cell>
        </row>
        <row r="388">
          <cell r="A388" t="str">
            <v>民376</v>
          </cell>
          <cell r="B388">
            <v>682</v>
          </cell>
          <cell r="C388" t="str">
            <v>ﾄｸﾃｲﾋｴｲﾘｺｸｻｲ</v>
          </cell>
          <cell r="E388">
            <v>376</v>
          </cell>
          <cell r="F388" t="str">
            <v>特定非営利活動法人国際ボランティアセンター山形　</v>
          </cell>
          <cell r="G388" t="str">
            <v>山形県山形市荒楯町１－１７－４０</v>
          </cell>
          <cell r="H388" t="str">
            <v>「ＮＧＯ相談員制度」業務委嘱</v>
          </cell>
          <cell r="I388" t="str">
            <v>外務省大臣官房会計課長　上月豊久　東京都千代田区霞が関２－２－１</v>
          </cell>
          <cell r="J388">
            <v>38518</v>
          </cell>
          <cell r="K388">
            <v>2342340</v>
          </cell>
          <cell r="L388"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8" t="str">
            <v>見直しの余地があるもの</v>
          </cell>
          <cell r="N388" t="str">
            <v>企画招請を実施（１８年度以降も引き続き実施）</v>
          </cell>
          <cell r="P388" t="str">
            <v>民○</v>
          </cell>
          <cell r="Q388" t="str">
            <v>民</v>
          </cell>
          <cell r="R388" t="str">
            <v>○</v>
          </cell>
          <cell r="S388" t="str">
            <v>民18②</v>
          </cell>
          <cell r="U388" t="str">
            <v>民</v>
          </cell>
          <cell r="W388" t="str">
            <v>②</v>
          </cell>
          <cell r="AA388">
            <v>1700836</v>
          </cell>
          <cell r="AB388">
            <v>2</v>
          </cell>
          <cell r="AC388" t="str">
            <v>17G415</v>
          </cell>
          <cell r="AD388" t="str">
            <v>無指定</v>
          </cell>
          <cell r="AE388" t="str">
            <v>経協民</v>
          </cell>
          <cell r="AF388" t="str">
            <v>会計課調達室／サービス調達第１班</v>
          </cell>
          <cell r="AG388" t="str">
            <v>村松</v>
          </cell>
        </row>
        <row r="389">
          <cell r="A389" t="str">
            <v>民377</v>
          </cell>
          <cell r="B389">
            <v>683</v>
          </cell>
          <cell r="C389" t="str">
            <v>ﾄｸﾃｲﾋｴｲﾘﾅﾝﾐﾝ</v>
          </cell>
          <cell r="E389">
            <v>377</v>
          </cell>
          <cell r="F389" t="str">
            <v>特定非営利活動法人難民を助ける会</v>
          </cell>
          <cell r="G389" t="str">
            <v>東京都品川区上大崎２－１２－２　</v>
          </cell>
          <cell r="H389" t="str">
            <v>「ＮＧＯ相談員制度」業務委嘱</v>
          </cell>
          <cell r="I389" t="str">
            <v>外務省大臣官房会計課長　上月豊久　東京都千代田区霞が関２－２－１</v>
          </cell>
          <cell r="J389">
            <v>38518</v>
          </cell>
          <cell r="K389">
            <v>2342340</v>
          </cell>
          <cell r="L38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89" t="str">
            <v>見直しの余地があるもの</v>
          </cell>
          <cell r="N389" t="str">
            <v>企画招請を実施（１８年度以降も引き続き実施）</v>
          </cell>
          <cell r="P389" t="str">
            <v>民○</v>
          </cell>
          <cell r="Q389" t="str">
            <v>民</v>
          </cell>
          <cell r="R389" t="str">
            <v>○</v>
          </cell>
          <cell r="S389" t="str">
            <v>民18②</v>
          </cell>
          <cell r="U389" t="str">
            <v>民</v>
          </cell>
          <cell r="W389" t="str">
            <v>②</v>
          </cell>
          <cell r="AA389">
            <v>1700836</v>
          </cell>
          <cell r="AB389">
            <v>6</v>
          </cell>
          <cell r="AC389" t="str">
            <v>17G415</v>
          </cell>
          <cell r="AD389" t="str">
            <v>無指定</v>
          </cell>
          <cell r="AE389" t="str">
            <v>経協民</v>
          </cell>
          <cell r="AF389" t="str">
            <v>会計課調達室／サービス調達第１班</v>
          </cell>
          <cell r="AG389" t="str">
            <v>村松</v>
          </cell>
        </row>
        <row r="390">
          <cell r="A390" t="str">
            <v>民378</v>
          </cell>
          <cell r="B390">
            <v>684</v>
          </cell>
          <cell r="C390" t="str">
            <v>ﾄｸﾃｲﾋｴｲﾘｶﾝｻｲｺｸｻｲ</v>
          </cell>
          <cell r="E390">
            <v>378</v>
          </cell>
          <cell r="F390" t="str">
            <v>特定非営利活動法人関西国際交流団体協議会</v>
          </cell>
          <cell r="G390" t="str">
            <v>大阪府大阪市天王寺区上本町８ー２－６　</v>
          </cell>
          <cell r="H390" t="str">
            <v>「ＮＧＯ相談員制度」業務委嘱</v>
          </cell>
          <cell r="I390" t="str">
            <v>外務省大臣官房会計課長　上月豊久　東京都千代田区霞が関２－２－１</v>
          </cell>
          <cell r="J390">
            <v>38518</v>
          </cell>
          <cell r="K390">
            <v>2342340</v>
          </cell>
          <cell r="L390"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90" t="str">
            <v>見直しの余地があるもの</v>
          </cell>
          <cell r="N390" t="str">
            <v>企画招請を実施（１８年度以降も引き続き実施）</v>
          </cell>
          <cell r="P390" t="str">
            <v>民○</v>
          </cell>
          <cell r="Q390" t="str">
            <v>民</v>
          </cell>
          <cell r="R390" t="str">
            <v>○</v>
          </cell>
          <cell r="S390" t="str">
            <v>民18②</v>
          </cell>
          <cell r="U390" t="str">
            <v>民</v>
          </cell>
          <cell r="W390" t="str">
            <v>②</v>
          </cell>
          <cell r="AA390">
            <v>1700836</v>
          </cell>
          <cell r="AB390">
            <v>10</v>
          </cell>
          <cell r="AC390" t="str">
            <v>17G415</v>
          </cell>
          <cell r="AD390" t="str">
            <v>無指定</v>
          </cell>
          <cell r="AE390" t="str">
            <v>経協民</v>
          </cell>
          <cell r="AF390" t="str">
            <v>会計課調達室／サービス調達第１班</v>
          </cell>
          <cell r="AG390" t="str">
            <v>村松</v>
          </cell>
        </row>
        <row r="391">
          <cell r="A391" t="str">
            <v>民379</v>
          </cell>
          <cell r="B391">
            <v>685</v>
          </cell>
          <cell r="C391" t="str">
            <v>ﾄｸﾃｲﾋｴｲﾘｺｸｻｲｷｮｳﾘｮｸ</v>
          </cell>
          <cell r="E391">
            <v>379</v>
          </cell>
          <cell r="F391" t="str">
            <v>特定非営利活動法人国際協力ＮＧＯセンター</v>
          </cell>
          <cell r="G391" t="str">
            <v>東京都新宿区西早稲田２－３－１８</v>
          </cell>
          <cell r="H391" t="str">
            <v>「ＮＧＯ相談員制度」業務委嘱</v>
          </cell>
          <cell r="I391" t="str">
            <v>外務省大臣官房会計課長　上月豊久　東京都千代田区霞が関２－２－１</v>
          </cell>
          <cell r="J391">
            <v>38518</v>
          </cell>
          <cell r="K391">
            <v>4684680</v>
          </cell>
          <cell r="L391"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91" t="str">
            <v>見直しの余地があるもの</v>
          </cell>
          <cell r="N391" t="str">
            <v>企画招請を実施（１８年度以降も引き続き実施）</v>
          </cell>
          <cell r="P391" t="str">
            <v>民○</v>
          </cell>
          <cell r="Q391" t="str">
            <v>民</v>
          </cell>
          <cell r="R391" t="str">
            <v>○</v>
          </cell>
          <cell r="S391" t="str">
            <v>民18②</v>
          </cell>
          <cell r="U391" t="str">
            <v>民</v>
          </cell>
          <cell r="W391" t="str">
            <v>②</v>
          </cell>
          <cell r="AA391">
            <v>1700836</v>
          </cell>
          <cell r="AB391">
            <v>5</v>
          </cell>
          <cell r="AC391" t="str">
            <v>17G415</v>
          </cell>
          <cell r="AD391" t="str">
            <v>無指定</v>
          </cell>
          <cell r="AE391" t="str">
            <v>経協民</v>
          </cell>
          <cell r="AF391" t="str">
            <v>会計課調達室／サービス調達第１班</v>
          </cell>
          <cell r="AG391" t="str">
            <v>村松</v>
          </cell>
        </row>
        <row r="392">
          <cell r="A392" t="str">
            <v>民380</v>
          </cell>
          <cell r="B392">
            <v>686</v>
          </cell>
          <cell r="C392" t="str">
            <v>ｼﾘﾂﾈﾑﾛ</v>
          </cell>
          <cell r="E392">
            <v>380</v>
          </cell>
          <cell r="F392" t="str">
            <v>市立根室病院（市立根室病院院長　羽根田　俊）</v>
          </cell>
          <cell r="G392" t="str">
            <v>北海道根室市有磯町１－２</v>
          </cell>
          <cell r="H392" t="str">
            <v>北方四島住民支援（平成１７年度患者受入事業：第１回目）について</v>
          </cell>
          <cell r="I392" t="str">
            <v xml:space="preserve">
外務省大臣官房会計課長　上月豊久
東京都千代田区霞が関２－２－１</v>
          </cell>
          <cell r="J392">
            <v>38520</v>
          </cell>
          <cell r="K392">
            <v>6763626</v>
          </cell>
          <cell r="L392" t="str">
            <v>人道的観点及び平和条約締結交渉促進の観点から北方四島の患者を受け入れるものであり、事業目的に鑑み、これまでの実績を勘案して受け入れ機関を決定する事とした（会計法第２９条の３第４項）。</v>
          </cell>
          <cell r="M392" t="str">
            <v>その他のもの</v>
          </cell>
          <cell r="N392" t="str">
            <v>随意契約によらざるを得ないもの</v>
          </cell>
          <cell r="P392" t="str">
            <v>民×</v>
          </cell>
          <cell r="Q392" t="str">
            <v>民</v>
          </cell>
          <cell r="S392" t="str">
            <v>民1</v>
          </cell>
          <cell r="U392" t="str">
            <v>民</v>
          </cell>
          <cell r="V392" t="str">
            <v>●</v>
          </cell>
          <cell r="AA392">
            <v>1700807</v>
          </cell>
          <cell r="AB392">
            <v>1</v>
          </cell>
          <cell r="AC392" t="str">
            <v>17G422</v>
          </cell>
          <cell r="AD392" t="str">
            <v>秘</v>
          </cell>
          <cell r="AE392" t="str">
            <v>欧支</v>
          </cell>
          <cell r="AF392" t="str">
            <v>会計課調達室／サービス調達第１班</v>
          </cell>
          <cell r="AG392" t="str">
            <v>村松</v>
          </cell>
          <cell r="AI392" t="str">
            <v>場所が限定される賃貸借その他業務</v>
          </cell>
          <cell r="AJ392" t="str">
            <v>ロ</v>
          </cell>
        </row>
        <row r="393">
          <cell r="A393" t="str">
            <v>民381</v>
          </cell>
          <cell r="B393">
            <v>687</v>
          </cell>
          <cell r="C393" t="str">
            <v>ﾈﾑﾛ</v>
          </cell>
          <cell r="E393">
            <v>381</v>
          </cell>
          <cell r="F393" t="str">
            <v>根室市役所（根室市長　藤原　弘）</v>
          </cell>
          <cell r="G393" t="str">
            <v>北海道根室市常盤町２－２７</v>
          </cell>
          <cell r="H393" t="str">
            <v>北方四島住民支援（平成１７年度患者受入事業：第１回目）について</v>
          </cell>
          <cell r="I393" t="str">
            <v xml:space="preserve">
外務省大臣官房会計課長　上月豊久
東京都千代田区霞が関２－２－１</v>
          </cell>
          <cell r="J393">
            <v>38520</v>
          </cell>
          <cell r="K393">
            <v>3098667</v>
          </cell>
          <cell r="L393" t="str">
            <v>人道的観点及び平和条約締結交渉促進の観点から北方四島の患者を受け入れるものであり、事業目的に鑑み、これまでの実績を勘案して受け入れ機関を決定する事とした（会計法第２９条の３第４項）。</v>
          </cell>
          <cell r="M393" t="str">
            <v>その他のもの</v>
          </cell>
          <cell r="N393" t="str">
            <v>随意契約によらざるを得ないもの</v>
          </cell>
          <cell r="P393" t="str">
            <v>民×</v>
          </cell>
          <cell r="Q393" t="str">
            <v>民</v>
          </cell>
          <cell r="S393" t="str">
            <v>民1</v>
          </cell>
          <cell r="U393" t="str">
            <v>民</v>
          </cell>
          <cell r="V393" t="str">
            <v>●</v>
          </cell>
          <cell r="AA393">
            <v>1700807</v>
          </cell>
          <cell r="AB393">
            <v>2</v>
          </cell>
          <cell r="AC393" t="str">
            <v>17G422</v>
          </cell>
          <cell r="AD393" t="str">
            <v>秘</v>
          </cell>
          <cell r="AE393" t="str">
            <v>欧支</v>
          </cell>
          <cell r="AF393" t="str">
            <v>会計課調達室／サービス調達第１班</v>
          </cell>
          <cell r="AG393" t="str">
            <v>村松</v>
          </cell>
          <cell r="AI393" t="str">
            <v>場所が限定される賃貸借その他業務</v>
          </cell>
          <cell r="AJ393" t="str">
            <v>ロ</v>
          </cell>
        </row>
        <row r="394">
          <cell r="A394" t="str">
            <v>民382</v>
          </cell>
          <cell r="B394">
            <v>688</v>
          </cell>
          <cell r="C394" t="str">
            <v>ｲﾝﾀｰﾅｼｮﾅﾙ</v>
          </cell>
          <cell r="E394">
            <v>382</v>
          </cell>
          <cell r="F394" t="str">
            <v>インターナショナル・エジュケーション・サービス株式会社</v>
          </cell>
          <cell r="G394" t="str">
            <v>東京都渋谷区東２－２２－１４　</v>
          </cell>
          <cell r="H394" t="str">
            <v>「入省初任英語研修」実施</v>
          </cell>
          <cell r="I394" t="str">
            <v>外務省大臣官房会計課長　上月豊久　東京都千代田区霞が関２－２－１</v>
          </cell>
          <cell r="J394">
            <v>38523</v>
          </cell>
          <cell r="K394">
            <v>2820470</v>
          </cell>
          <cell r="L394" t="str">
            <v>本件研修は２会計年度にまたがり実施されるため、研修の一貫性を保つため、前年度企画招請により業務委嘱した業者と引き続き契約を行うもの（会計法第２９条の３第４項）。</v>
          </cell>
          <cell r="M394" t="str">
            <v>見直しの余地があるもの</v>
          </cell>
          <cell r="N394" t="str">
            <v>企画招請を実施（１９年度以降実施）</v>
          </cell>
          <cell r="P394" t="str">
            <v>民×</v>
          </cell>
          <cell r="Q394" t="str">
            <v>民</v>
          </cell>
          <cell r="S394" t="str">
            <v>民19②</v>
          </cell>
          <cell r="U394" t="str">
            <v>民</v>
          </cell>
          <cell r="X394" t="str">
            <v>②</v>
          </cell>
          <cell r="AA394">
            <v>1700585</v>
          </cell>
          <cell r="AB394">
            <v>1</v>
          </cell>
          <cell r="AC394" t="str">
            <v>17G326</v>
          </cell>
          <cell r="AD394" t="str">
            <v>無指定</v>
          </cell>
          <cell r="AE394" t="str">
            <v>外研</v>
          </cell>
          <cell r="AF394" t="str">
            <v>会計課調達室／サービス調達第１班</v>
          </cell>
          <cell r="AG394" t="str">
            <v>竹澤</v>
          </cell>
        </row>
        <row r="395">
          <cell r="A395" t="str">
            <v>民383</v>
          </cell>
          <cell r="B395">
            <v>689</v>
          </cell>
          <cell r="C395" t="str">
            <v>ﾄｳｷｮｳﾋﾞｼﾞﾈｽｻｰﾋﾞｽ</v>
          </cell>
          <cell r="E395">
            <v>383</v>
          </cell>
          <cell r="F395" t="str">
            <v>東京ビジネスサービス株式会社</v>
          </cell>
          <cell r="G395" t="str">
            <v>東京都新宿区西新宿６－１４－１</v>
          </cell>
          <cell r="H395" t="str">
            <v>バリ・プロセス作業部会開催</v>
          </cell>
          <cell r="I395" t="str">
            <v>外務省大臣官房会計課長　上月豊久　東京都千代田区霞が関２－２－１</v>
          </cell>
          <cell r="J395">
            <v>38525</v>
          </cell>
          <cell r="K395">
            <v>2102695</v>
          </cell>
          <cell r="L395" t="str">
            <v>ＪＩＣＡ国際協力総合研修所は整った会議施設と宿泊施設を低価格で利用できる。経済性及び参加者の利便性を考えれば、本施設の利用が最適であり他に競争を許さない（会計法第２９条の３第４項）。</v>
          </cell>
          <cell r="M395" t="str">
            <v>見直しの余地があるもの</v>
          </cell>
          <cell r="N395" t="str">
            <v>18年度において当該事務・事業の委託を行わないもの</v>
          </cell>
          <cell r="P395" t="str">
            <v>民×</v>
          </cell>
          <cell r="Q395" t="str">
            <v>民</v>
          </cell>
          <cell r="S395" t="str">
            <v>民18×</v>
          </cell>
          <cell r="U395" t="str">
            <v>民</v>
          </cell>
          <cell r="W395" t="str">
            <v>×</v>
          </cell>
          <cell r="AA395">
            <v>1700830</v>
          </cell>
          <cell r="AB395">
            <v>1</v>
          </cell>
          <cell r="AC395" t="str">
            <v>17S540</v>
          </cell>
          <cell r="AD395" t="str">
            <v xml:space="preserve"> </v>
          </cell>
          <cell r="AE395" t="str">
            <v>亜地政</v>
          </cell>
          <cell r="AF395" t="str">
            <v>会計課調達室／サービス調達第２班</v>
          </cell>
          <cell r="AG395" t="str">
            <v>高出</v>
          </cell>
        </row>
        <row r="396">
          <cell r="A396" t="str">
            <v>民384</v>
          </cell>
          <cell r="B396">
            <v>690</v>
          </cell>
          <cell r="C396" t="str">
            <v>ｺｸｻｲｲｼﾞｭｳ</v>
          </cell>
          <cell r="E396">
            <v>384</v>
          </cell>
          <cell r="F396" t="str">
            <v>ＩＯＭ（国際移住機関）東京事務所</v>
          </cell>
          <cell r="G396" t="str">
            <v>東京都港区虎ノ門１－１－１２　</v>
          </cell>
          <cell r="H396" t="str">
            <v>バリ・プロセス作業部会開催</v>
          </cell>
          <cell r="I396" t="str">
            <v>外務省大臣官房会計課長　上月豊久　東京都千代田区霞が関２－２－１</v>
          </cell>
          <cell r="J396">
            <v>38525</v>
          </cell>
          <cell r="K396">
            <v>3229794</v>
          </cell>
          <cell r="L396" t="str">
            <v>ＩＯＭはこれまで作業部会開催のロジ業務を担当してきており、我が国が経費負担する部分のみを他の業者に委嘱することはロジの混乱を招くことから得策ではなく本件については契約相手先に委嘱することが不可欠である（会計法第２９条の３第４項）。</v>
          </cell>
          <cell r="M396" t="str">
            <v>見直しの余地があるもの</v>
          </cell>
          <cell r="N396" t="str">
            <v>18年度において当該事務・事業の委託を行わないもの</v>
          </cell>
          <cell r="P396" t="str">
            <v>民×</v>
          </cell>
          <cell r="Q396" t="str">
            <v>民</v>
          </cell>
          <cell r="S396" t="str">
            <v>民18×</v>
          </cell>
          <cell r="U396" t="str">
            <v>民</v>
          </cell>
          <cell r="W396" t="str">
            <v>×</v>
          </cell>
          <cell r="AA396">
            <v>1700830</v>
          </cell>
          <cell r="AB396">
            <v>2</v>
          </cell>
          <cell r="AC396" t="str">
            <v>17G444</v>
          </cell>
          <cell r="AD396" t="str">
            <v xml:space="preserve"> </v>
          </cell>
          <cell r="AE396" t="str">
            <v>亜地政</v>
          </cell>
          <cell r="AF396" t="str">
            <v>会計課調達室／サービス調達第２班</v>
          </cell>
          <cell r="AG396" t="str">
            <v>高出</v>
          </cell>
        </row>
        <row r="397">
          <cell r="A397" t="str">
            <v>民385</v>
          </cell>
          <cell r="B397">
            <v>691</v>
          </cell>
          <cell r="C397" t="str">
            <v>ｶﾌﾞﾐﾂﾋﾞｼｿｳｺﾞｳ</v>
          </cell>
          <cell r="E397">
            <v>385</v>
          </cell>
          <cell r="F397" t="str">
            <v>株式会社三菱総合研究所</v>
          </cell>
          <cell r="G397" t="str">
            <v>東京都千代田区大手町２－３－６　</v>
          </cell>
          <cell r="H397" t="str">
            <v>広州市における現地調査委嘱</v>
          </cell>
          <cell r="I397" t="str">
            <v>外務省大臣官房会計課長　上月豊久　東京都千代田区霞が関２－２－１</v>
          </cell>
          <cell r="J397">
            <v>38527</v>
          </cell>
          <cell r="K397">
            <v>11494024</v>
          </cell>
          <cell r="L397" t="str">
            <v>旧日本軍が遺棄したと見られる毒ガス弾による被害発生に伴い、一刻も早く現地調査を行う必要があった事から、これまで同業務に関するノウハウを有し、調査に必要な特殊機材を保有する契約相手先と緊急に契約を行ったもの（会計法第２９条の３第４項）。</v>
          </cell>
          <cell r="M397" t="str">
            <v>見直しの余地があるもの</v>
          </cell>
          <cell r="N397" t="str">
            <v>18年度において当該事務・事業の委託を行わないもの</v>
          </cell>
          <cell r="P397" t="str">
            <v>民×</v>
          </cell>
          <cell r="Q397" t="str">
            <v>民</v>
          </cell>
          <cell r="S397" t="str">
            <v>民18×</v>
          </cell>
          <cell r="U397" t="str">
            <v>民</v>
          </cell>
          <cell r="W397" t="str">
            <v>×</v>
          </cell>
          <cell r="AA397">
            <v>1700803</v>
          </cell>
          <cell r="AB397">
            <v>1</v>
          </cell>
          <cell r="AC397" t="str">
            <v>17G474</v>
          </cell>
          <cell r="AD397" t="str">
            <v>取扱注意</v>
          </cell>
          <cell r="AE397" t="str">
            <v>亜中</v>
          </cell>
          <cell r="AF397" t="str">
            <v>会計課調達室／サービス調達第１班</v>
          </cell>
          <cell r="AG397" t="str">
            <v>竹澤</v>
          </cell>
        </row>
        <row r="398">
          <cell r="A398" t="str">
            <v>民386</v>
          </cell>
          <cell r="B398">
            <v>692</v>
          </cell>
          <cell r="C398" t="str">
            <v>ｶﾌﾞｺﾝﾍﾞﾝｼｮﾝ</v>
          </cell>
          <cell r="E398">
            <v>386</v>
          </cell>
          <cell r="F398" t="str">
            <v>株式会社コンベンションリンケージ</v>
          </cell>
          <cell r="G398" t="str">
            <v>東京都千代田区三番町２</v>
          </cell>
          <cell r="H398" t="str">
            <v>アジア・太平洋地域国際エイズ会議における展示ブース設置</v>
          </cell>
          <cell r="I398" t="str">
            <v>外務省大臣官房会計課長　上月豊久　東京都千代田区霞が関２－２－１</v>
          </cell>
          <cell r="J398">
            <v>38527</v>
          </cell>
          <cell r="K398">
            <v>1806708</v>
          </cell>
          <cell r="L398" t="str">
            <v>契約相手先は本件会議主催者と会議全般に係る契約を交わしている業者であり、同社との契約は契約目的を円滑に達成するために欠かせない（会計法第２９条の３第４項）。</v>
          </cell>
          <cell r="M398" t="str">
            <v>見直しの余地があるもの</v>
          </cell>
          <cell r="N398" t="str">
            <v>１８年度において当該事務・事業の委託等を行う予定のないもの</v>
          </cell>
          <cell r="P398" t="str">
            <v>民×</v>
          </cell>
          <cell r="Q398" t="str">
            <v>民</v>
          </cell>
          <cell r="S398" t="str">
            <v>民18×</v>
          </cell>
          <cell r="U398" t="str">
            <v>民</v>
          </cell>
          <cell r="W398" t="str">
            <v>×</v>
          </cell>
          <cell r="AA398">
            <v>1700832</v>
          </cell>
          <cell r="AB398">
            <v>1</v>
          </cell>
          <cell r="AC398" t="str">
            <v>17M196</v>
          </cell>
          <cell r="AD398" t="str">
            <v>無指定</v>
          </cell>
          <cell r="AE398" t="str">
            <v>経協計</v>
          </cell>
          <cell r="AF398" t="str">
            <v>会計課調達室／サービス調達第２班</v>
          </cell>
          <cell r="AG398" t="str">
            <v>光山</v>
          </cell>
        </row>
        <row r="399">
          <cell r="A399" t="str">
            <v>民387</v>
          </cell>
          <cell r="B399">
            <v>693</v>
          </cell>
          <cell r="C399" t="str">
            <v>ｴﾇﾃｨﾃｨｰﾗｰﾆﾝｸﾞ</v>
          </cell>
          <cell r="E399">
            <v>387</v>
          </cell>
          <cell r="F399" t="str">
            <v>ＮＴＴラーニングシステムズ株式会社</v>
          </cell>
          <cell r="G399" t="str">
            <v>東京都港区南麻布１－６－１５</v>
          </cell>
          <cell r="H399" t="str">
            <v>「第２回開発教育・国際理解教育コンクール」実施</v>
          </cell>
          <cell r="I399" t="str">
            <v>外務省大臣官房会計課長　上月豊久　東京都千代田区霞が関２－２－１</v>
          </cell>
          <cell r="J399">
            <v>38530</v>
          </cell>
          <cell r="K399">
            <v>8881950</v>
          </cell>
          <cell r="L39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399" t="str">
            <v>見直しの余地があるもの</v>
          </cell>
          <cell r="N399" t="str">
            <v>企画招請を実施（１８年度以降も引き続き実施）</v>
          </cell>
          <cell r="P399" t="str">
            <v>民○</v>
          </cell>
          <cell r="Q399" t="str">
            <v>民</v>
          </cell>
          <cell r="R399" t="str">
            <v>○</v>
          </cell>
          <cell r="S399" t="str">
            <v>民18②</v>
          </cell>
          <cell r="U399" t="str">
            <v>民</v>
          </cell>
          <cell r="W399" t="str">
            <v>②</v>
          </cell>
          <cell r="AA399">
            <v>1700810</v>
          </cell>
          <cell r="AB399">
            <v>1</v>
          </cell>
          <cell r="AC399" t="str">
            <v>17X175</v>
          </cell>
          <cell r="AD399" t="str">
            <v>無指定</v>
          </cell>
          <cell r="AE399" t="str">
            <v>経協政</v>
          </cell>
          <cell r="AF399" t="str">
            <v>会計課調達室／サービス調達第１班</v>
          </cell>
          <cell r="AG399" t="str">
            <v>村松</v>
          </cell>
        </row>
        <row r="400">
          <cell r="A400" t="str">
            <v>民388</v>
          </cell>
          <cell r="B400">
            <v>694</v>
          </cell>
          <cell r="C400" t="str">
            <v>ｶﾌﾞｴｧｸﾚ</v>
          </cell>
          <cell r="E400">
            <v>388</v>
          </cell>
          <cell r="F400" t="str">
            <v>株式会社エァクレーレン</v>
          </cell>
          <cell r="G400" t="str">
            <v>東京都港区赤坂３－４－４</v>
          </cell>
          <cell r="H400" t="str">
            <v>「ＪＡＰＡＮ´Ｓ　ＯＤＡ　ＷＨＩＴＥ　ＰＡＰＥＲ　２００４」の編集、印刷、製本業務</v>
          </cell>
          <cell r="I400" t="str">
            <v>外務省大臣官房会計課長　上月豊久　東京都千代田区霞が関２－２－１</v>
          </cell>
          <cell r="J400">
            <v>38531</v>
          </cell>
          <cell r="K400">
            <v>3465000</v>
          </cell>
          <cell r="L400" t="str">
            <v>１６年度に同社に委嘱の上翻訳した「JAPAN'S ODA WHITE PAPER 2004」の編集、印刷、製本業務に関し、著作者人格権を有する同社にと契約を行うもの（会計法第２９条の３第４項）。</v>
          </cell>
          <cell r="M400" t="str">
            <v>見直しの余地があるもの</v>
          </cell>
          <cell r="N400" t="str">
            <v>競争入札に移行（１８年度から）</v>
          </cell>
          <cell r="P400" t="str">
            <v>民×</v>
          </cell>
          <cell r="Q400" t="str">
            <v>民</v>
          </cell>
          <cell r="S400" t="str">
            <v>民18②</v>
          </cell>
          <cell r="U400" t="str">
            <v>民</v>
          </cell>
          <cell r="W400" t="str">
            <v>②</v>
          </cell>
          <cell r="AA400">
            <v>1700748</v>
          </cell>
          <cell r="AB400">
            <v>1</v>
          </cell>
          <cell r="AC400" t="str">
            <v>17M189</v>
          </cell>
          <cell r="AD400" t="str">
            <v>取扱注意</v>
          </cell>
          <cell r="AE400" t="str">
            <v>経協計</v>
          </cell>
          <cell r="AF400" t="str">
            <v>会計課調達室／物品調達班</v>
          </cell>
          <cell r="AG400" t="str">
            <v>宮田</v>
          </cell>
        </row>
        <row r="401">
          <cell r="A401" t="str">
            <v>民389</v>
          </cell>
          <cell r="B401">
            <v>695</v>
          </cell>
          <cell r="C401" t="str">
            <v>ﾄｸﾃｲｺｼﾞﾝ</v>
          </cell>
          <cell r="E401">
            <v>389</v>
          </cell>
          <cell r="F401" t="str">
            <v>特定個人</v>
          </cell>
          <cell r="G401" t="str">
            <v>特定個人の住所</v>
          </cell>
          <cell r="H401" t="str">
            <v>ＮＧＯ専門調査員による調査・研究（※１１件）</v>
          </cell>
          <cell r="I401" t="str">
            <v>外務省大臣官房会計課長　上月豊久　東京都千代田区霞が関２－２－１</v>
          </cell>
          <cell r="J401">
            <v>38532</v>
          </cell>
          <cell r="K401">
            <v>26829000</v>
          </cell>
          <cell r="L401"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01" t="str">
            <v>見直しの余地があるもの</v>
          </cell>
          <cell r="N401" t="str">
            <v>企画招請を実施（１８年度以降も引き続き実施）</v>
          </cell>
          <cell r="O401" t="str">
            <v>全11件</v>
          </cell>
          <cell r="P401" t="str">
            <v>民○</v>
          </cell>
          <cell r="Q401" t="str">
            <v>民</v>
          </cell>
          <cell r="R401" t="str">
            <v>○
11</v>
          </cell>
          <cell r="S401" t="str">
            <v>民18②</v>
          </cell>
          <cell r="U401" t="str">
            <v>民</v>
          </cell>
          <cell r="W401" t="str">
            <v>②</v>
          </cell>
          <cell r="AA401">
            <v>1700842</v>
          </cell>
          <cell r="AB401">
            <v>1</v>
          </cell>
          <cell r="AC401" t="str">
            <v>17G426</v>
          </cell>
          <cell r="AD401" t="str">
            <v>無指定</v>
          </cell>
          <cell r="AE401" t="str">
            <v>経協民</v>
          </cell>
          <cell r="AF401" t="str">
            <v>会計課調達室／サービス調達第１班</v>
          </cell>
          <cell r="AG401" t="str">
            <v>村松</v>
          </cell>
        </row>
        <row r="402">
          <cell r="A402" t="str">
            <v>民400</v>
          </cell>
          <cell r="B402">
            <v>706</v>
          </cell>
          <cell r="C402" t="str">
            <v>ｼｬﾀﾞﾝﾆﾎﾝｹｲｻﾞｲｹﾝｷｭｳ</v>
          </cell>
          <cell r="E402">
            <v>400</v>
          </cell>
          <cell r="F402" t="str">
            <v>社団法人　日本経済研究センター</v>
          </cell>
          <cell r="G402" t="str">
            <v>東京都中央区日本橋茅場町２－６－１</v>
          </cell>
          <cell r="H402" t="str">
            <v>「東アジア経済統合：日本の戦略優先分野（東アジアの共通課題に向けた戦略）」委嘱調査</v>
          </cell>
          <cell r="I402" t="str">
            <v>外務省大臣官房会計課長　上月豊久　東京都千代田区霞が関２－２－１</v>
          </cell>
          <cell r="J402">
            <v>38534</v>
          </cell>
          <cell r="K402">
            <v>3008869</v>
          </cell>
          <cell r="L402" t="str">
            <v>契約目的達成のために必要な知見・ノウハウの蓄積を鑑みれば、本件契約相手先が最も適当であると判断されたことから、他に競争を許さない（会計法第２９条の３第４項）。</v>
          </cell>
          <cell r="M402" t="str">
            <v>見直しの余地があるもの</v>
          </cell>
          <cell r="N402" t="str">
            <v>１８年度以降において当該事務・事業の委託等を行う予定のないもの</v>
          </cell>
          <cell r="P402" t="str">
            <v>民×</v>
          </cell>
          <cell r="Q402" t="str">
            <v>民</v>
          </cell>
          <cell r="S402" t="str">
            <v>民18×</v>
          </cell>
          <cell r="U402" t="str">
            <v>民</v>
          </cell>
          <cell r="W402" t="str">
            <v>×</v>
          </cell>
          <cell r="AA402">
            <v>1700889</v>
          </cell>
          <cell r="AB402">
            <v>1</v>
          </cell>
          <cell r="AC402" t="str">
            <v>17G477</v>
          </cell>
          <cell r="AD402" t="str">
            <v>無指定</v>
          </cell>
          <cell r="AE402" t="str">
            <v>経政</v>
          </cell>
          <cell r="AF402" t="str">
            <v>会計課調達室／サービス調達第１班</v>
          </cell>
          <cell r="AG402" t="str">
            <v>竹澤</v>
          </cell>
        </row>
        <row r="403">
          <cell r="A403" t="str">
            <v>民401</v>
          </cell>
          <cell r="B403">
            <v>707</v>
          </cell>
          <cell r="C403" t="str">
            <v>ｵｵｻｶﾀﾞｲｶﾞｸ</v>
          </cell>
          <cell r="E403">
            <v>401</v>
          </cell>
          <cell r="F403" t="str">
            <v>大阪大学大学院国際公共政策研究所国際安全保障政策研究センター</v>
          </cell>
          <cell r="G403" t="str">
            <v>大阪府豊中市待兼山町１－３１</v>
          </cell>
          <cell r="H403" t="str">
            <v>「アフリカにおける国連ＰＫＯの役割の変容を通じたアフリカの平和の定着促進のための方策検討」委嘱調査</v>
          </cell>
          <cell r="I403" t="str">
            <v xml:space="preserve">
外務省大臣官房会計課長　上月豊久
東京都千代田区霞が関２－２－１</v>
          </cell>
          <cell r="J403">
            <v>38534</v>
          </cell>
          <cell r="K403">
            <v>1778733</v>
          </cell>
          <cell r="L403" t="str">
            <v>契約目的達成のために必要な知見・ノウハウの蓄積を鑑みれば、本件契約相手先が最も適当であると判断されたことから、他に競争を許さない（会計法第２９条の３第４項）。</v>
          </cell>
          <cell r="M403" t="str">
            <v>見直しの余地があるもの</v>
          </cell>
          <cell r="N403" t="str">
            <v>企画招請を実施（平成１９年１月以降、次回実施時から）</v>
          </cell>
          <cell r="P403" t="str">
            <v>民×</v>
          </cell>
          <cell r="Q403" t="str">
            <v>民</v>
          </cell>
          <cell r="S403" t="str">
            <v>民19②</v>
          </cell>
          <cell r="U403" t="str">
            <v>民</v>
          </cell>
          <cell r="X403" t="str">
            <v>②</v>
          </cell>
          <cell r="AA403">
            <v>1700884</v>
          </cell>
          <cell r="AB403">
            <v>1</v>
          </cell>
          <cell r="AC403" t="str">
            <v>17G431</v>
          </cell>
          <cell r="AD403" t="str">
            <v>取扱注意</v>
          </cell>
          <cell r="AE403" t="str">
            <v>総平</v>
          </cell>
          <cell r="AF403" t="str">
            <v>会計課調達室／サービス調達第１班</v>
          </cell>
          <cell r="AG403" t="str">
            <v>竹澤</v>
          </cell>
        </row>
        <row r="404">
          <cell r="A404" t="str">
            <v>民402</v>
          </cell>
          <cell r="B404">
            <v>708</v>
          </cell>
          <cell r="C404" t="str">
            <v>ﾉｳﾋﾞﾎﾞｳｻｲ</v>
          </cell>
          <cell r="E404">
            <v>402</v>
          </cell>
          <cell r="F404" t="str">
            <v>能美防災株式会社　</v>
          </cell>
          <cell r="G404" t="str">
            <v>東京都千代田区九段南４ー７ー３</v>
          </cell>
          <cell r="H404" t="str">
            <v>旅券発給管理システム自動運転監視装置（環境監視盤）の部品交換</v>
          </cell>
          <cell r="I404" t="str">
            <v>外務省大臣官房会計課長　上月豊久　東京都千代田区霞が関２－２－１</v>
          </cell>
          <cell r="J404">
            <v>38537</v>
          </cell>
          <cell r="K404">
            <v>3885000</v>
          </cell>
          <cell r="L404" t="str">
            <v>本システムの開発を行った会社が同システムの保守を行うものであり、競争を許さない（会計法第２９条の３第４項）。</v>
          </cell>
          <cell r="M404" t="str">
            <v>見直しの余地があるもの</v>
          </cell>
          <cell r="N404" t="str">
            <v>１８年度以降において当該事務・事業の委託等を行う予定のないもの</v>
          </cell>
          <cell r="P404" t="str">
            <v>民×</v>
          </cell>
          <cell r="Q404" t="str">
            <v>民</v>
          </cell>
          <cell r="S404" t="str">
            <v>民18×</v>
          </cell>
          <cell r="U404" t="str">
            <v>民</v>
          </cell>
          <cell r="W404" t="str">
            <v>×</v>
          </cell>
          <cell r="AA404">
            <v>1700751</v>
          </cell>
          <cell r="AB404">
            <v>1</v>
          </cell>
          <cell r="AC404" t="str">
            <v>17M243</v>
          </cell>
          <cell r="AD404" t="str">
            <v>取扱注意</v>
          </cell>
          <cell r="AE404" t="str">
            <v>領旅</v>
          </cell>
          <cell r="AF404" t="str">
            <v>会計課調達室／物品調達班</v>
          </cell>
          <cell r="AG404" t="str">
            <v>宮田</v>
          </cell>
        </row>
        <row r="405">
          <cell r="A405" t="str">
            <v>民403</v>
          </cell>
          <cell r="B405">
            <v>709</v>
          </cell>
          <cell r="C405" t="str">
            <v>ﾆﾁﾛｴｺ</v>
          </cell>
          <cell r="E405">
            <v>403</v>
          </cell>
          <cell r="F405" t="str">
            <v>日露エコノミックスセンター株式会社</v>
          </cell>
          <cell r="G405" t="str">
            <v>東京都杉並区高円寺南１－７－１－５０１</v>
          </cell>
          <cell r="H405" t="str">
            <v>「日本センター巡回講座・訪日研修」（中小企業経営）</v>
          </cell>
          <cell r="I405" t="str">
            <v xml:space="preserve">
外務省大臣官房会計課長　上月豊久
東京都千代田区霞が関２－２－１</v>
          </cell>
          <cell r="J405">
            <v>38539</v>
          </cell>
          <cell r="K405">
            <v>13658400</v>
          </cell>
          <cell r="L405"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05" t="str">
            <v>見直しの余地があるもの</v>
          </cell>
          <cell r="N405" t="str">
            <v>企画招請を実施（１８年度以降も引き続き実施）</v>
          </cell>
          <cell r="P405" t="str">
            <v>民○</v>
          </cell>
          <cell r="Q405" t="str">
            <v>民</v>
          </cell>
          <cell r="R405" t="str">
            <v>○</v>
          </cell>
          <cell r="S405" t="str">
            <v>民18②</v>
          </cell>
          <cell r="U405" t="str">
            <v>民</v>
          </cell>
          <cell r="W405" t="str">
            <v>②</v>
          </cell>
          <cell r="AA405">
            <v>1700812</v>
          </cell>
          <cell r="AB405">
            <v>1</v>
          </cell>
          <cell r="AC405" t="str">
            <v>17G464</v>
          </cell>
          <cell r="AD405" t="str">
            <v>無指定</v>
          </cell>
          <cell r="AE405" t="str">
            <v>欧支</v>
          </cell>
          <cell r="AF405" t="str">
            <v>会計課調達室／サービス調達第１班</v>
          </cell>
          <cell r="AG405" t="str">
            <v>村松</v>
          </cell>
        </row>
        <row r="406">
          <cell r="A406" t="str">
            <v>民404</v>
          </cell>
          <cell r="B406">
            <v>710</v>
          </cell>
          <cell r="C406" t="str">
            <v>ﾆﾎﾝｺｳﾂｳ</v>
          </cell>
          <cell r="E406">
            <v>404</v>
          </cell>
          <cell r="F406" t="str">
            <v>日本交通株式会社</v>
          </cell>
          <cell r="G406" t="str">
            <v>東京都千代田区永田町２－１１－１　</v>
          </cell>
          <cell r="H406" t="str">
            <v>実務訪問賓客接遇（車両借上契約）</v>
          </cell>
          <cell r="I406" t="str">
            <v>外務省大臣官房会計課長　上月豊久　東京都千代田区霞が関２－２－１</v>
          </cell>
          <cell r="J406">
            <v>38541</v>
          </cell>
          <cell r="K406">
            <v>1934100</v>
          </cell>
          <cell r="L406" t="str">
            <v>緊急の必要により競争に付することができないため（会計法第２９条の３第４項）。</v>
          </cell>
          <cell r="M406" t="str">
            <v>その他のもの</v>
          </cell>
          <cell r="N406" t="str">
            <v>随意契約によらざるを得ないもの</v>
          </cell>
          <cell r="P406" t="str">
            <v>民×</v>
          </cell>
          <cell r="Q406" t="str">
            <v>民</v>
          </cell>
          <cell r="S406" t="str">
            <v>民1</v>
          </cell>
          <cell r="U406" t="str">
            <v>民</v>
          </cell>
          <cell r="V406" t="str">
            <v>●</v>
          </cell>
          <cell r="AA406">
            <v>1700915</v>
          </cell>
          <cell r="AB406">
            <v>2</v>
          </cell>
          <cell r="AC406" t="str">
            <v>17J099</v>
          </cell>
          <cell r="AD406" t="str">
            <v>取扱注意</v>
          </cell>
          <cell r="AE406" t="str">
            <v>亜西</v>
          </cell>
          <cell r="AF406" t="str">
            <v>会計課調達室／サービス調達第２班</v>
          </cell>
          <cell r="AG406" t="str">
            <v>高出</v>
          </cell>
        </row>
        <row r="407">
          <cell r="A407" t="str">
            <v>民405</v>
          </cell>
          <cell r="B407">
            <v>711</v>
          </cell>
          <cell r="C407" t="str">
            <v>ﾎｯﾎﾟｳﾖﾝﾄｳ</v>
          </cell>
          <cell r="E407">
            <v>405</v>
          </cell>
          <cell r="F407" t="str">
            <v>北方四島交流北海道推進委員会</v>
          </cell>
          <cell r="G407" t="str">
            <v>北海道札幌市中央区北三条西６</v>
          </cell>
          <cell r="H407" t="str">
            <v>「北方四島住民招へい事業（青少年）」委嘱</v>
          </cell>
          <cell r="I407" t="str">
            <v xml:space="preserve">
外務省大臣官房会計課長　上月豊久
東京都千代田区霞が関２－２－１</v>
          </cell>
          <cell r="J407">
            <v>38545</v>
          </cell>
          <cell r="K407">
            <v>16794462</v>
          </cell>
          <cell r="L407" t="str">
            <v>契約相手先は北海道内における四島交流事業を実施するため、北海道庁を始め地元根室管内の自治体、北方領土返還運動団体が構成団体となり設立した団体である。四島在住ロシア人を招聘する北海道受け入れ事業が円滑に行われるためには北海道全体として同事業に取り組む事が必要であるが、かかる事業が実施可能な団体は他に存在しない。従って本事業は当該団体と協力して実施することが政策上不可欠である（会計法第２９条の３第４項）。</v>
          </cell>
          <cell r="M407" t="str">
            <v>その他のもの</v>
          </cell>
          <cell r="N407" t="str">
            <v>随意契約によらざるを得ないもの</v>
          </cell>
          <cell r="P407" t="str">
            <v>民×</v>
          </cell>
          <cell r="Q407" t="str">
            <v>民</v>
          </cell>
          <cell r="S407" t="str">
            <v>民1</v>
          </cell>
          <cell r="U407" t="str">
            <v>民</v>
          </cell>
          <cell r="V407" t="str">
            <v>●</v>
          </cell>
          <cell r="AA407">
            <v>1700922</v>
          </cell>
          <cell r="AB407">
            <v>1</v>
          </cell>
          <cell r="AC407" t="str">
            <v>17G499</v>
          </cell>
          <cell r="AD407" t="str">
            <v>無指定</v>
          </cell>
          <cell r="AE407" t="str">
            <v>欧ロ</v>
          </cell>
          <cell r="AF407" t="str">
            <v>会計課調達室／サービス調達第２班</v>
          </cell>
          <cell r="AG407" t="str">
            <v>荒井</v>
          </cell>
        </row>
        <row r="408">
          <cell r="A408" t="str">
            <v>民406</v>
          </cell>
          <cell r="B408">
            <v>712</v>
          </cell>
          <cell r="C408" t="str">
            <v>ｶﾌﾞｼﾞｪｲｺﾑ</v>
          </cell>
          <cell r="E408">
            <v>406</v>
          </cell>
          <cell r="F408" t="str">
            <v>株式会社ジェイコム</v>
          </cell>
          <cell r="G408" t="str">
            <v>東京都中央区銀座３－１０－９</v>
          </cell>
          <cell r="H408" t="str">
            <v>国際協力フェスティバル業務委嘱</v>
          </cell>
          <cell r="I408" t="str">
            <v>外務省大臣官房会計課長　上月豊久　東京都千代田区霞が関２－２－１</v>
          </cell>
          <cell r="J408">
            <v>38545</v>
          </cell>
          <cell r="K408">
            <v>36999999</v>
          </cell>
          <cell r="L408"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08" t="str">
            <v>見直しの余地があるもの</v>
          </cell>
          <cell r="N408" t="str">
            <v>企画招請を実施（１８年度以降も引き続き実施）</v>
          </cell>
          <cell r="P408" t="str">
            <v>民○</v>
          </cell>
          <cell r="Q408" t="str">
            <v>民</v>
          </cell>
          <cell r="R408" t="str">
            <v>○</v>
          </cell>
          <cell r="S408" t="str">
            <v>民18②</v>
          </cell>
          <cell r="U408" t="str">
            <v>民</v>
          </cell>
          <cell r="W408" t="str">
            <v>②</v>
          </cell>
          <cell r="AA408">
            <v>1700875</v>
          </cell>
          <cell r="AB408">
            <v>1</v>
          </cell>
          <cell r="AC408" t="str">
            <v>17X183</v>
          </cell>
          <cell r="AD408" t="str">
            <v>無指定</v>
          </cell>
          <cell r="AE408" t="str">
            <v>経協政</v>
          </cell>
          <cell r="AF408" t="str">
            <v>会計課調達室／サービス調達第１班</v>
          </cell>
          <cell r="AG408" t="str">
            <v>村松</v>
          </cell>
        </row>
        <row r="409">
          <cell r="A409" t="str">
            <v>民407</v>
          </cell>
          <cell r="B409">
            <v>713</v>
          </cell>
          <cell r="C409" t="str">
            <v>ﾄｸﾃｲﾋｴｲﾘｺｸｻｲﾘｶｲ</v>
          </cell>
          <cell r="E409">
            <v>407</v>
          </cell>
          <cell r="F409" t="str">
            <v>特定非営利活動法人国際理解教育センター</v>
          </cell>
          <cell r="G409" t="str">
            <v>東京都北区滝野川１－９３－５　</v>
          </cell>
          <cell r="H409" t="str">
            <v>「ＮＧＯ相談員制度」実施契約</v>
          </cell>
          <cell r="I409" t="str">
            <v>外務省大臣官房会計課長　上月豊久　東京都千代田区霞が関２－２－１</v>
          </cell>
          <cell r="J409">
            <v>38545</v>
          </cell>
          <cell r="K409">
            <v>2022967</v>
          </cell>
          <cell r="L40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09" t="str">
            <v>見直しの余地があるもの</v>
          </cell>
          <cell r="N409" t="str">
            <v>企画招請を実施（１８年度以降も引き続き実施）</v>
          </cell>
          <cell r="P409" t="str">
            <v>民○</v>
          </cell>
          <cell r="Q409" t="str">
            <v>民</v>
          </cell>
          <cell r="R409" t="str">
            <v>○</v>
          </cell>
          <cell r="S409" t="str">
            <v>民18②</v>
          </cell>
          <cell r="U409" t="str">
            <v>民</v>
          </cell>
          <cell r="W409" t="str">
            <v>②</v>
          </cell>
          <cell r="AA409">
            <v>1700836</v>
          </cell>
          <cell r="AB409">
            <v>4</v>
          </cell>
          <cell r="AC409" t="str">
            <v>17G415</v>
          </cell>
          <cell r="AD409" t="str">
            <v>無指定</v>
          </cell>
          <cell r="AE409" t="str">
            <v>経協民</v>
          </cell>
          <cell r="AF409" t="str">
            <v>会計課調達室／サービス調達第１班</v>
          </cell>
          <cell r="AG409" t="str">
            <v>村松</v>
          </cell>
        </row>
        <row r="410">
          <cell r="A410" t="str">
            <v>民408</v>
          </cell>
          <cell r="B410">
            <v>714</v>
          </cell>
          <cell r="C410" t="str">
            <v>ｶﾌﾞﾌﾞﾝｶｺｳﾎﾞｳ</v>
          </cell>
          <cell r="E410">
            <v>408</v>
          </cell>
          <cell r="F410" t="str">
            <v>株式会社文化工房</v>
          </cell>
          <cell r="G410" t="str">
            <v>東京都港区六本木５－１０－３１</v>
          </cell>
          <cell r="H410" t="str">
            <v>「外務省」パンフレット作成</v>
          </cell>
          <cell r="I410" t="str">
            <v xml:space="preserve">
外務省大臣官房会計課長　上月豊久
東京都千代田区霞が関２－２－１</v>
          </cell>
          <cell r="J410">
            <v>38545</v>
          </cell>
          <cell r="K410">
            <v>1798125</v>
          </cell>
          <cell r="L410"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10" t="str">
            <v>見直しの余地があるもの</v>
          </cell>
          <cell r="N410" t="str">
            <v>１８年度以降において当該事務・事業の委託等を行う予定のないもの</v>
          </cell>
          <cell r="P410" t="str">
            <v>民○</v>
          </cell>
          <cell r="Q410" t="str">
            <v>民</v>
          </cell>
          <cell r="R410" t="str">
            <v>○</v>
          </cell>
          <cell r="S410" t="str">
            <v>民18×</v>
          </cell>
          <cell r="U410" t="str">
            <v>民</v>
          </cell>
          <cell r="W410" t="str">
            <v>×</v>
          </cell>
          <cell r="AA410">
            <v>1700894</v>
          </cell>
          <cell r="AB410">
            <v>1</v>
          </cell>
          <cell r="AC410" t="str">
            <v>17X098</v>
          </cell>
          <cell r="AD410" t="str">
            <v>無指定</v>
          </cell>
          <cell r="AE410" t="str">
            <v>報内</v>
          </cell>
          <cell r="AF410" t="str">
            <v>会計課調達室／サービス調達第１班</v>
          </cell>
          <cell r="AG410" t="str">
            <v>村松</v>
          </cell>
        </row>
        <row r="411">
          <cell r="A411" t="str">
            <v>民409</v>
          </cell>
          <cell r="B411">
            <v>715</v>
          </cell>
          <cell r="C411" t="str">
            <v>ﾖｺｶﾜｵｰｶﾞﾆｾﾞｰｼｮﾝ</v>
          </cell>
          <cell r="E411">
            <v>409</v>
          </cell>
          <cell r="F411" t="str">
            <v>横河オーガニゼーション・リソース・カウンセラーズ株式会社</v>
          </cell>
          <cell r="G411" t="str">
            <v>東京都武蔵野市中町１－１５－５</v>
          </cell>
          <cell r="H411" t="str">
            <v>「世界主要都市の価格水準調査」委嘱</v>
          </cell>
          <cell r="I411" t="str">
            <v>外務省大臣官房会計課長　上月豊久　東京都千代田区霞が関２－２－１</v>
          </cell>
          <cell r="J411">
            <v>38546</v>
          </cell>
          <cell r="K411">
            <v>2077950</v>
          </cell>
          <cell r="L411" t="str">
            <v>先に同様調査を行った際、契約目的を履行可能な３社に対し、当方の調査方針を提示したところ、本件契約相手先のみが調査可能であるとの回答であったため同社に委嘱した。本件は先に行った右調査の追加であり、引き続き同社に委嘱する事が効率的である（会計法第２９条の３第４項）。</v>
          </cell>
          <cell r="M411" t="str">
            <v>見直しの余地があるもの</v>
          </cell>
          <cell r="N411" t="str">
            <v>18年度において当該事務・事業の委託を行わないもの</v>
          </cell>
          <cell r="P411" t="str">
            <v>民×</v>
          </cell>
          <cell r="Q411" t="str">
            <v>民</v>
          </cell>
          <cell r="S411" t="str">
            <v>民18×</v>
          </cell>
          <cell r="U411" t="str">
            <v>民</v>
          </cell>
          <cell r="W411" t="str">
            <v>×</v>
          </cell>
          <cell r="AA411">
            <v>1700874</v>
          </cell>
          <cell r="AB411">
            <v>1</v>
          </cell>
          <cell r="AD411" t="str">
            <v>無指定</v>
          </cell>
          <cell r="AE411" t="str">
            <v>在</v>
          </cell>
          <cell r="AF411" t="str">
            <v>会計課調達室／サービス調達第１班</v>
          </cell>
          <cell r="AG411" t="str">
            <v>村松</v>
          </cell>
        </row>
        <row r="412">
          <cell r="A412" t="str">
            <v>民410</v>
          </cell>
          <cell r="B412">
            <v>716</v>
          </cell>
          <cell r="C412" t="str">
            <v>ｼﾝﾆｯﾃﾂ</v>
          </cell>
          <cell r="E412">
            <v>410</v>
          </cell>
          <cell r="F412" t="str">
            <v>新日鉄ソリューションズ株式会社</v>
          </cell>
          <cell r="G412" t="str">
            <v>東京都中央区新川２ー２０ー１５</v>
          </cell>
          <cell r="H412" t="str">
            <v>法定点検に伴う電源工事等への対処作業</v>
          </cell>
          <cell r="I412" t="str">
            <v>外務省大臣官房会計課長　上月豊久　東京都千代田区霞が関２－２－１</v>
          </cell>
          <cell r="J412">
            <v>38548</v>
          </cell>
          <cell r="K412">
            <v>2257500</v>
          </cell>
          <cell r="L412" t="str">
            <v xml:space="preserve">
本システムの開発を行った会社が同システムの点検を行うものであり、競争を許さない（会計法第２９条の３第４項）</v>
          </cell>
          <cell r="M412" t="str">
            <v>見直しの余地があるもの</v>
          </cell>
          <cell r="N412" t="str">
            <v>平成１８年度以降において当該事務・事業の委託等を実施しない</v>
          </cell>
          <cell r="P412" t="str">
            <v>民×</v>
          </cell>
          <cell r="Q412" t="str">
            <v>民</v>
          </cell>
          <cell r="S412" t="str">
            <v>民18×</v>
          </cell>
          <cell r="U412" t="str">
            <v>民</v>
          </cell>
          <cell r="W412" t="str">
            <v>×</v>
          </cell>
          <cell r="AA412">
            <v>1700806</v>
          </cell>
          <cell r="AB412">
            <v>1</v>
          </cell>
          <cell r="AC412" t="str">
            <v>17W347</v>
          </cell>
          <cell r="AD412" t="str">
            <v>取扱注意</v>
          </cell>
          <cell r="AE412" t="str">
            <v>官情</v>
          </cell>
          <cell r="AF412" t="str">
            <v>会計課調達室／サービス調達第３班</v>
          </cell>
          <cell r="AG412" t="str">
            <v>西村</v>
          </cell>
        </row>
        <row r="413">
          <cell r="A413" t="str">
            <v>民411</v>
          </cell>
          <cell r="B413">
            <v>717</v>
          </cell>
          <cell r="C413" t="str">
            <v>ｶﾌﾞｼﾞｬﾊﾟﾝｴｺｰ</v>
          </cell>
          <cell r="E413">
            <v>411</v>
          </cell>
          <cell r="F413" t="str">
            <v>株式会社ジャパンエコー社</v>
          </cell>
          <cell r="G413" t="str">
            <v>東京都千代田区内幸町２－２－１</v>
          </cell>
          <cell r="H413" t="str">
            <v>「我が国の歴史教科書の翻訳等」契約</v>
          </cell>
          <cell r="I413" t="str">
            <v>外務省大臣官房会計課長　上月豊久　東京都千代田区霞が関２－２－１</v>
          </cell>
          <cell r="J413">
            <v>38548</v>
          </cell>
          <cell r="K413">
            <v>12700800</v>
          </cell>
          <cell r="L413" t="str">
            <v>本件作業量と履行期限を勘案すれば競争手続きによる事ができなかったため、これまで請負実績のある３社に対し翻訳審査を実施し、また、見積書の提出を受けて契約相手先に委嘱した。教科書翻訳を掲載するための専用ウェブサイト運営、出版社との著作権に係る契約対応等、本件サイトを運営する期間については契約を続行する必要がある（会計法第２９条の３第４項）。</v>
          </cell>
          <cell r="M413" t="str">
            <v>見直しの余地があるもの</v>
          </cell>
          <cell r="N413" t="str">
            <v>平成２２年度に契約終了予定（平成19年度から国庫債務負担行為を適用し、4カ年の契約を締結する予定）</v>
          </cell>
          <cell r="O413" t="str">
            <v>H19～22：国庫債務負担公有為</v>
          </cell>
          <cell r="P413" t="str">
            <v>民×</v>
          </cell>
          <cell r="Q413" t="str">
            <v>民</v>
          </cell>
          <cell r="S413" t="str">
            <v>民19×</v>
          </cell>
          <cell r="U413" t="str">
            <v>民</v>
          </cell>
          <cell r="X413" t="str">
            <v>×</v>
          </cell>
          <cell r="AA413">
            <v>1700887</v>
          </cell>
          <cell r="AB413">
            <v>1</v>
          </cell>
          <cell r="AC413" t="str">
            <v>17X196</v>
          </cell>
          <cell r="AD413" t="str">
            <v>取扱注意</v>
          </cell>
          <cell r="AE413" t="str">
            <v>広文総</v>
          </cell>
          <cell r="AF413" t="str">
            <v>会計課調達室／政府調達班</v>
          </cell>
          <cell r="AG413" t="str">
            <v>倉島</v>
          </cell>
        </row>
        <row r="414">
          <cell r="A414" t="str">
            <v>民412</v>
          </cell>
          <cell r="B414">
            <v>718</v>
          </cell>
          <cell r="C414" t="str">
            <v>ｶﾌﾞﾎﾃﾙﾆｭｰｵｰﾀﾆ</v>
          </cell>
          <cell r="E414">
            <v>412</v>
          </cell>
          <cell r="F414" t="str">
            <v>株式会社ホテルニューオータニ</v>
          </cell>
          <cell r="G414" t="str">
            <v>東京都千代田区紀尾井町４－１</v>
          </cell>
          <cell r="H414" t="str">
            <v>公式実務訪問賓客等接遇（宿舎契約・４件）</v>
          </cell>
          <cell r="I414" t="str">
            <v xml:space="preserve">
外務省大臣官房会計課長　上月豊久
東京都千代田区霞が関２－２－１</v>
          </cell>
          <cell r="J414">
            <v>38552</v>
          </cell>
          <cell r="K414">
            <v>7686414</v>
          </cell>
          <cell r="L414" t="str">
            <v>賓客側の希望に基づき、滞在中の行事、用務等日程の都合、立地条件、ホテル側の受け入れ態勢などを総合的に判断し委嘱したものであり、他に競争を許さない（会計法第２９条の３第４項）。</v>
          </cell>
          <cell r="M414" t="str">
            <v>その他のもの</v>
          </cell>
          <cell r="N414" t="str">
            <v>随意契約によらざるを得ないもの</v>
          </cell>
          <cell r="O414" t="str">
            <v>全4件</v>
          </cell>
          <cell r="P414" t="str">
            <v>民×</v>
          </cell>
          <cell r="Q414" t="str">
            <v>民</v>
          </cell>
          <cell r="R414">
            <v>4</v>
          </cell>
          <cell r="S414" t="str">
            <v>民1</v>
          </cell>
          <cell r="U414" t="str">
            <v>民</v>
          </cell>
          <cell r="V414" t="str">
            <v>●</v>
          </cell>
          <cell r="AA414">
            <v>1700900</v>
          </cell>
          <cell r="AB414">
            <v>1</v>
          </cell>
          <cell r="AC414" t="str">
            <v>17J108</v>
          </cell>
          <cell r="AD414" t="str">
            <v>取扱注意</v>
          </cell>
          <cell r="AE414" t="str">
            <v>欧東</v>
          </cell>
          <cell r="AF414" t="str">
            <v>会計課調達室／サービス調達第２班</v>
          </cell>
          <cell r="AG414" t="str">
            <v>高出</v>
          </cell>
          <cell r="AI414" t="str">
            <v>相手国との関係から業務の質を確保することについて特段の配慮を要するもの
行政目的を達成するために不可欠な業務を提供することが可能な者から提供を受けるもの</v>
          </cell>
          <cell r="AJ414" t="str">
            <v>ニ（ヘ）
に準ずる</v>
          </cell>
        </row>
        <row r="415">
          <cell r="A415" t="str">
            <v>民416</v>
          </cell>
          <cell r="B415">
            <v>722</v>
          </cell>
          <cell r="C415" t="str">
            <v>ﾎｯﾎﾟｳﾖﾝﾄｳ</v>
          </cell>
          <cell r="E415">
            <v>416</v>
          </cell>
          <cell r="F415" t="str">
            <v>北方四島交流北海道推進委員会</v>
          </cell>
          <cell r="G415" t="str">
            <v>北海道札幌市中央区北三条西６</v>
          </cell>
          <cell r="H415" t="str">
            <v>「北方四島住民招へい事業」委嘱</v>
          </cell>
          <cell r="I415" t="str">
            <v xml:space="preserve">
外務省大臣官房会計課長　上月豊久
東京都千代田区霞が関２－２－１</v>
          </cell>
          <cell r="J415">
            <v>38553</v>
          </cell>
          <cell r="K415">
            <v>8711881</v>
          </cell>
          <cell r="L415" t="str">
            <v>契約相手先は北海道内における四島交流事業を実施するため、北海道庁を始め地元根室管内の自治体、北方領土返還運動団体が構成団体となり設立した団体である。四島在住ロシア人を招聘する北海道受け入れ事業が円滑に行われるためには北海道全体として同事業に取り組む事が必要であるが、かかる事業が実施可能な団体は他に存在しない。従って本事業は当該団体と協力して実施することが政策上不可欠である（会計法第２９条の３第４項）。</v>
          </cell>
          <cell r="M415" t="str">
            <v>その他のもの</v>
          </cell>
          <cell r="N415" t="str">
            <v>随意契約によらざるを得ないもの</v>
          </cell>
          <cell r="P415" t="str">
            <v>民×</v>
          </cell>
          <cell r="Q415" t="str">
            <v>民</v>
          </cell>
          <cell r="S415" t="str">
            <v>民1</v>
          </cell>
          <cell r="U415" t="str">
            <v>民</v>
          </cell>
          <cell r="V415" t="str">
            <v>●</v>
          </cell>
          <cell r="AA415">
            <v>1700918</v>
          </cell>
          <cell r="AB415">
            <v>1</v>
          </cell>
          <cell r="AC415" t="str">
            <v>17G535</v>
          </cell>
          <cell r="AD415" t="str">
            <v>無指定</v>
          </cell>
          <cell r="AE415" t="str">
            <v>欧ロ</v>
          </cell>
          <cell r="AF415" t="str">
            <v>会計課調達室／サービス調達第２班</v>
          </cell>
          <cell r="AG415" t="str">
            <v>荒井</v>
          </cell>
        </row>
        <row r="416">
          <cell r="A416" t="str">
            <v>民417</v>
          </cell>
          <cell r="B416">
            <v>723</v>
          </cell>
          <cell r="C416" t="str">
            <v>ｶﾌﾞｼﾞｪｲﾃｨｰﾋﾞｰ</v>
          </cell>
          <cell r="E416">
            <v>417</v>
          </cell>
          <cell r="F416" t="str">
            <v>株式会社ジェイティービー</v>
          </cell>
          <cell r="G416" t="str">
            <v>東京都千代田区鍛冶町２－１２－５</v>
          </cell>
          <cell r="H416" t="str">
            <v>職員厚生施設借上</v>
          </cell>
          <cell r="I416" t="str">
            <v>外務省大臣官房会計課長　上月豊久　東京都千代田区霞が関２－２－１</v>
          </cell>
          <cell r="J416">
            <v>38555</v>
          </cell>
          <cell r="K416">
            <v>5722500</v>
          </cell>
          <cell r="L416"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16" t="str">
            <v>見直しの余地があるもの</v>
          </cell>
          <cell r="N416" t="str">
            <v>企画招請を実施（１８年度以降も引き続き実施）</v>
          </cell>
          <cell r="P416" t="str">
            <v>民○</v>
          </cell>
          <cell r="Q416" t="str">
            <v>民</v>
          </cell>
          <cell r="R416" t="str">
            <v>○</v>
          </cell>
          <cell r="S416" t="str">
            <v>民18②</v>
          </cell>
          <cell r="U416" t="str">
            <v>民</v>
          </cell>
          <cell r="W416" t="str">
            <v>②</v>
          </cell>
          <cell r="AA416">
            <v>1700871</v>
          </cell>
          <cell r="AB416">
            <v>1</v>
          </cell>
          <cell r="AC416" t="str">
            <v>17Q648</v>
          </cell>
          <cell r="AD416" t="str">
            <v>無指定</v>
          </cell>
          <cell r="AE416" t="str">
            <v>厚</v>
          </cell>
          <cell r="AF416" t="str">
            <v>会計課調達室／サービス調達第１班</v>
          </cell>
          <cell r="AG416" t="str">
            <v>村松</v>
          </cell>
        </row>
        <row r="417">
          <cell r="A417" t="str">
            <v>民418</v>
          </cell>
          <cell r="B417">
            <v>724</v>
          </cell>
          <cell r="C417" t="str">
            <v>ｶﾌﾞｱｳﾞｧﾝﾃｨ</v>
          </cell>
          <cell r="E417">
            <v>418</v>
          </cell>
          <cell r="F417" t="str">
            <v>株式会社アヴァンティスタッフ</v>
          </cell>
          <cell r="G417" t="str">
            <v>東京都中央区八重洲２－６－２１　</v>
          </cell>
          <cell r="H417" t="str">
            <v>「非英語研修職員のための夏期英語集中研修」契約</v>
          </cell>
          <cell r="I417" t="str">
            <v>外務省大臣官房会計課長　上月豊久　東京都千代田区霞が関２－２－１</v>
          </cell>
          <cell r="J417">
            <v>38558</v>
          </cell>
          <cell r="K417">
            <v>3229827</v>
          </cell>
          <cell r="L417"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17" t="str">
            <v>見直しの余地があるもの</v>
          </cell>
          <cell r="N417" t="str">
            <v>企画招請を実施（１８年度以降も引き続き実施）</v>
          </cell>
          <cell r="P417" t="str">
            <v>民○</v>
          </cell>
          <cell r="Q417" t="str">
            <v>民</v>
          </cell>
          <cell r="R417" t="str">
            <v>○</v>
          </cell>
          <cell r="S417" t="str">
            <v>民18②</v>
          </cell>
          <cell r="U417" t="str">
            <v>民</v>
          </cell>
          <cell r="W417" t="str">
            <v>②</v>
          </cell>
          <cell r="AA417">
            <v>1700869</v>
          </cell>
          <cell r="AB417">
            <v>1</v>
          </cell>
          <cell r="AC417" t="str">
            <v>17G547</v>
          </cell>
          <cell r="AD417" t="str">
            <v>無指定</v>
          </cell>
          <cell r="AE417" t="str">
            <v>外研</v>
          </cell>
          <cell r="AF417" t="str">
            <v>会計課調達室／サービス調達第１班</v>
          </cell>
          <cell r="AG417" t="str">
            <v>村松</v>
          </cell>
        </row>
        <row r="418">
          <cell r="A418" t="str">
            <v>民419</v>
          </cell>
          <cell r="B418">
            <v>725</v>
          </cell>
          <cell r="C418" t="str">
            <v>ｵｰﾊﾞｰｼｰ</v>
          </cell>
          <cell r="E418">
            <v>419</v>
          </cell>
          <cell r="F418" t="str">
            <v>オーバーシーズ・プロジェクト・マネージメント・コンサルタンツ株式会社</v>
          </cell>
          <cell r="G418" t="str">
            <v>東京都千代田区神田神保町１－１３</v>
          </cell>
          <cell r="H418" t="str">
            <v>ＯＤＡ評価「ベトナム運輸セクターにおける被援助国との合同評価」業務委嘱</v>
          </cell>
          <cell r="I418" t="str">
            <v>外務省大臣官房会計課長　上月豊久　東京都千代田区霞が関２－２－１</v>
          </cell>
          <cell r="J418">
            <v>38561</v>
          </cell>
          <cell r="K418">
            <v>17998300</v>
          </cell>
          <cell r="L418"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18" t="str">
            <v>見直しの余地があるもの</v>
          </cell>
          <cell r="N418" t="str">
            <v>企画招請を実施（１８年度以降も引き続き実施）</v>
          </cell>
          <cell r="P418" t="str">
            <v>民○</v>
          </cell>
          <cell r="Q418" t="str">
            <v>民</v>
          </cell>
          <cell r="R418" t="str">
            <v>○</v>
          </cell>
          <cell r="S418" t="str">
            <v>民18②</v>
          </cell>
          <cell r="U418" t="str">
            <v>民</v>
          </cell>
          <cell r="W418" t="str">
            <v>②</v>
          </cell>
          <cell r="AA418">
            <v>1700893</v>
          </cell>
          <cell r="AB418">
            <v>1</v>
          </cell>
          <cell r="AC418" t="str">
            <v>17G504</v>
          </cell>
          <cell r="AD418" t="str">
            <v xml:space="preserve"> </v>
          </cell>
          <cell r="AE418" t="str">
            <v>経協計</v>
          </cell>
          <cell r="AF418" t="str">
            <v>会計課調達室／サービス調達第１班</v>
          </cell>
          <cell r="AG418" t="str">
            <v>村松</v>
          </cell>
        </row>
        <row r="419">
          <cell r="A419" t="str">
            <v>民420</v>
          </cell>
          <cell r="B419">
            <v>726</v>
          </cell>
          <cell r="C419" t="str">
            <v>ｶﾌﾞﾎﾃﾙﾆｭｰｵｰﾀﾆ</v>
          </cell>
          <cell r="E419">
            <v>420</v>
          </cell>
          <cell r="F419" t="str">
            <v>株式会社ホテルニューオータニ</v>
          </cell>
          <cell r="G419" t="str">
            <v>東京都千代田区紀尾井町４－１</v>
          </cell>
          <cell r="H419" t="str">
            <v>「第２１回日・ＡＳＥＡＮフォーラム」会議場選定</v>
          </cell>
          <cell r="I419" t="str">
            <v>外務省大臣官房会計課長　上月豊久　東京都千代田区霞が関２－２－１</v>
          </cell>
          <cell r="J419">
            <v>38562</v>
          </cell>
          <cell r="K419">
            <v>6052095</v>
          </cell>
          <cell r="L419" t="str">
            <v>参加各国に会場を前広に通報する必要があり、他方会議日程等詳細の確定に時間を要し、事前に入札を行う時間が取れなかったことから、これまで同様の業務を委嘱した実績のあるホテルより見積書を招請し、随意契約を行ったもの（会計法第２９条の３第４項）。</v>
          </cell>
          <cell r="M419" t="str">
            <v>見直しの余地があるもの</v>
          </cell>
          <cell r="N419" t="str">
            <v>18年度において当該事務・事業の委託を行わないもの</v>
          </cell>
          <cell r="P419" t="str">
            <v>民×</v>
          </cell>
          <cell r="Q419" t="str">
            <v>民</v>
          </cell>
          <cell r="S419" t="str">
            <v>民18×</v>
          </cell>
          <cell r="U419" t="str">
            <v>民</v>
          </cell>
          <cell r="W419" t="str">
            <v>×</v>
          </cell>
          <cell r="AA419">
            <v>1700972</v>
          </cell>
          <cell r="AB419">
            <v>1</v>
          </cell>
          <cell r="AC419" t="str">
            <v>17S660</v>
          </cell>
          <cell r="AD419" t="str">
            <v>取扱注意</v>
          </cell>
          <cell r="AE419" t="str">
            <v>亜地政</v>
          </cell>
          <cell r="AF419" t="str">
            <v>会計課調達室／サービス調達第２班</v>
          </cell>
          <cell r="AG419" t="str">
            <v>高出</v>
          </cell>
        </row>
        <row r="420">
          <cell r="A420" t="str">
            <v>民421</v>
          </cell>
          <cell r="B420">
            <v>727</v>
          </cell>
          <cell r="C420" t="str">
            <v>ｱﾝｾﾞﾝﾎｼｮｳ</v>
          </cell>
          <cell r="E420">
            <v>421</v>
          </cell>
          <cell r="F420" t="str">
            <v>安全保障問題研究会</v>
          </cell>
          <cell r="G420" t="str">
            <v>東京都港区赤坂２－１７－２２</v>
          </cell>
          <cell r="H420" t="str">
            <v>「サハリン・フォーラム開催事業」委嘱</v>
          </cell>
          <cell r="I420" t="str">
            <v xml:space="preserve">
外務省大臣官房会計課長　上月豊久
東京都千代田区霞が関２－２－１</v>
          </cell>
          <cell r="J420">
            <v>38565</v>
          </cell>
          <cell r="K420">
            <v>3218275</v>
          </cell>
          <cell r="L420" t="str">
            <v>契約相手先は本件事業の日本側実施団体であり、契約目的の効率的な達成及び効果の観点から同団体との契約は不可欠である（会計法第２９条の３第４項）。</v>
          </cell>
          <cell r="M420" t="str">
            <v>見直しの余地があるもの</v>
          </cell>
          <cell r="N420" t="str">
            <v>企画招請への移行を検討（平成１９年度から）</v>
          </cell>
          <cell r="P420" t="str">
            <v>民×</v>
          </cell>
          <cell r="Q420" t="str">
            <v>民</v>
          </cell>
          <cell r="S420" t="str">
            <v>民19②</v>
          </cell>
          <cell r="U420" t="str">
            <v>民</v>
          </cell>
          <cell r="X420" t="str">
            <v>②</v>
          </cell>
          <cell r="AA420">
            <v>1701067</v>
          </cell>
          <cell r="AB420">
            <v>1</v>
          </cell>
          <cell r="AC420" t="str">
            <v>17G575</v>
          </cell>
          <cell r="AD420" t="str">
            <v>無指定</v>
          </cell>
          <cell r="AE420" t="str">
            <v>欧ロ</v>
          </cell>
          <cell r="AF420" t="str">
            <v>会計課調達室／サービス調達第２班</v>
          </cell>
          <cell r="AG420" t="str">
            <v>和田</v>
          </cell>
        </row>
        <row r="421">
          <cell r="A421" t="str">
            <v>民422</v>
          </cell>
          <cell r="B421">
            <v>728</v>
          </cell>
          <cell r="C421" t="str">
            <v>ｶﾌﾞﾐﾂﾋﾞｼｿｳｺﾞｳ</v>
          </cell>
          <cell r="E421">
            <v>422</v>
          </cell>
          <cell r="F421" t="str">
            <v>株式会社三菱総合研究所</v>
          </cell>
          <cell r="G421" t="str">
            <v>東京都千代田区大手町２－３－６</v>
          </cell>
          <cell r="H421" t="str">
            <v>「黒龍江省伊春市における現地調査」業務委嘱</v>
          </cell>
          <cell r="I421" t="str">
            <v>外務省大臣官房会計課長　上月豊久　東京都千代田区霞が関２－２－１</v>
          </cell>
          <cell r="J421">
            <v>38566</v>
          </cell>
          <cell r="K421">
            <v>11941339</v>
          </cell>
          <cell r="L421" t="str">
            <v>旧日本軍が遺棄したと見られる毒ガス弾による被害発生に伴い、一刻も早く現地調査を行う必要があった事から、これまで同業務に関するノウハウを有し、調査に必要な特殊機材を保有する契約相手先と緊急に契約を行ったもの（会計法第２９条の３第４項）。</v>
          </cell>
          <cell r="M421" t="str">
            <v>見直しの余地があるもの</v>
          </cell>
          <cell r="N421" t="str">
            <v>18年度において当該事務・事業の委託を行わないもの</v>
          </cell>
          <cell r="P421" t="str">
            <v>民×</v>
          </cell>
          <cell r="Q421" t="str">
            <v>民</v>
          </cell>
          <cell r="S421" t="str">
            <v>民18×</v>
          </cell>
          <cell r="U421" t="str">
            <v>民</v>
          </cell>
          <cell r="W421" t="str">
            <v>×</v>
          </cell>
          <cell r="AA421">
            <v>1700890</v>
          </cell>
          <cell r="AB421">
            <v>1</v>
          </cell>
          <cell r="AC421" t="str">
            <v>17G602</v>
          </cell>
          <cell r="AD421" t="str">
            <v>取扱注意</v>
          </cell>
          <cell r="AE421" t="str">
            <v>亜中</v>
          </cell>
          <cell r="AF421" t="str">
            <v>会計課調達室／サービス調達第１班</v>
          </cell>
          <cell r="AG421" t="str">
            <v>竹澤</v>
          </cell>
        </row>
        <row r="422">
          <cell r="A422" t="str">
            <v>民423</v>
          </cell>
          <cell r="B422">
            <v>729</v>
          </cell>
          <cell r="C422" t="str">
            <v>ｶﾌﾞﾋﾀﾁｾｲ</v>
          </cell>
          <cell r="E422">
            <v>423</v>
          </cell>
          <cell r="F422" t="str">
            <v>株式会社日立製作所　</v>
          </cell>
          <cell r="G422" t="str">
            <v>東京都江東区新砂１－６－２７</v>
          </cell>
          <cell r="H422" t="str">
            <v>会計システムにおけるマイグレーションにかかる改造経費</v>
          </cell>
          <cell r="I422" t="str">
            <v>外務省大臣官房会計課長　上月豊久　東京都千代田区霞が関２－２－１</v>
          </cell>
          <cell r="J422">
            <v>38573</v>
          </cell>
          <cell r="K422">
            <v>68250000</v>
          </cell>
          <cell r="L422" t="str">
            <v>ホストコンピュータおよび各種システムを開発した同社に対し現存システムの一部改造業務を委託するものであり競争を許さない（会計法第２９条の３第４項、特定政令に該当）。</v>
          </cell>
          <cell r="M422" t="str">
            <v>見直しの余地があるもの</v>
          </cell>
          <cell r="N422" t="str">
            <v>平成１９年度以降において当該事務・事業の委託等を実施しない</v>
          </cell>
          <cell r="P422" t="str">
            <v>民×</v>
          </cell>
          <cell r="Q422" t="str">
            <v>民</v>
          </cell>
          <cell r="S422" t="str">
            <v>民19×</v>
          </cell>
          <cell r="U422" t="str">
            <v>民</v>
          </cell>
          <cell r="X422" t="str">
            <v>×</v>
          </cell>
          <cell r="AA422">
            <v>1700789</v>
          </cell>
          <cell r="AB422">
            <v>1</v>
          </cell>
          <cell r="AC422" t="str">
            <v>17M221</v>
          </cell>
          <cell r="AD422" t="str">
            <v>無指定</v>
          </cell>
          <cell r="AE422" t="str">
            <v>官情</v>
          </cell>
          <cell r="AF422" t="str">
            <v>会計課調達室／サービス調達第３班</v>
          </cell>
          <cell r="AG422" t="str">
            <v>西村</v>
          </cell>
        </row>
        <row r="423">
          <cell r="A423" t="str">
            <v>民424</v>
          </cell>
          <cell r="B423">
            <v>730</v>
          </cell>
          <cell r="C423" t="str">
            <v>ｶﾌﾞﾕｰｴﾌｼﾞｪｰ</v>
          </cell>
          <cell r="E423">
            <v>424</v>
          </cell>
          <cell r="F423" t="str">
            <v>株式会社ＵＦＪ総合研究所</v>
          </cell>
          <cell r="G423" t="str">
            <v>東京都港区新橋１－１１－７</v>
          </cell>
          <cell r="H423" t="str">
            <v>ODA評価「ケニア国別評価」業務委嘱</v>
          </cell>
          <cell r="I423" t="str">
            <v>外務省大臣官房会計課長　上月豊久　東京都千代田区霞が関２－２－１</v>
          </cell>
          <cell r="J423">
            <v>38574</v>
          </cell>
          <cell r="K423">
            <v>21828971</v>
          </cell>
          <cell r="L423"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23" t="str">
            <v>見直しの余地があるもの</v>
          </cell>
          <cell r="N423" t="str">
            <v>企画招請を実施（１８年度以降も引き続き実施）</v>
          </cell>
          <cell r="P423" t="str">
            <v>民○</v>
          </cell>
          <cell r="Q423" t="str">
            <v>民</v>
          </cell>
          <cell r="R423" t="str">
            <v>○</v>
          </cell>
          <cell r="S423" t="str">
            <v>民18②</v>
          </cell>
          <cell r="U423" t="str">
            <v>民</v>
          </cell>
          <cell r="W423" t="str">
            <v>②</v>
          </cell>
          <cell r="AA423">
            <v>1701045</v>
          </cell>
          <cell r="AB423">
            <v>1</v>
          </cell>
          <cell r="AC423" t="str">
            <v>17G608</v>
          </cell>
          <cell r="AD423" t="str">
            <v>取扱注意</v>
          </cell>
          <cell r="AE423" t="str">
            <v>経協計</v>
          </cell>
          <cell r="AF423" t="str">
            <v>会計課調達室／サービス調達第１班</v>
          </cell>
          <cell r="AG423" t="str">
            <v>村松</v>
          </cell>
        </row>
        <row r="424">
          <cell r="A424" t="str">
            <v>民425</v>
          </cell>
          <cell r="B424">
            <v>731</v>
          </cell>
          <cell r="C424" t="str">
            <v>ｶﾞｯｺｳﾎｳｼﾞﾝｻﾉ</v>
          </cell>
          <cell r="E424">
            <v>425</v>
          </cell>
          <cell r="F424" t="str">
            <v>学校法人佐野学園</v>
          </cell>
          <cell r="G424" t="str">
            <v>東京都港区西新橋１－６－１２</v>
          </cell>
          <cell r="H424" t="str">
            <v>早朝語学研修実施契約</v>
          </cell>
          <cell r="I424" t="str">
            <v>外務省大臣官房会計課長　上月豊久　東京都千代田区霞が関２－２－１</v>
          </cell>
          <cell r="J424">
            <v>38574</v>
          </cell>
          <cell r="K424">
            <v>11100000</v>
          </cell>
          <cell r="L424" t="str">
            <v>平成１５年度まで一般競争入札を実施していたが、経済性が優先されたため研修の質が低下し、研修効果が損なわれる結果となったことに鑑み、１６年度においては企画招請を行い、契約相手先に委嘱したもの。研修は２年連続して受講する事になっているため、研修の継続性を確保するため１７年度においても同社に委嘱した（会計法第２９条の３第４項）。</v>
          </cell>
          <cell r="M424" t="str">
            <v>見直しの余地があるもの</v>
          </cell>
          <cell r="N424" t="str">
            <v>企画招請を実施（１８年度以降も引き続き実施）</v>
          </cell>
          <cell r="P424" t="str">
            <v>民×</v>
          </cell>
          <cell r="Q424" t="str">
            <v>民</v>
          </cell>
          <cell r="S424" t="str">
            <v>民18②</v>
          </cell>
          <cell r="U424" t="str">
            <v>民</v>
          </cell>
          <cell r="W424" t="str">
            <v>②</v>
          </cell>
          <cell r="AA424">
            <v>1700870</v>
          </cell>
          <cell r="AB424">
            <v>1</v>
          </cell>
          <cell r="AC424" t="str">
            <v>17G518</v>
          </cell>
          <cell r="AD424" t="str">
            <v>無指定</v>
          </cell>
          <cell r="AE424" t="str">
            <v>外研</v>
          </cell>
          <cell r="AF424" t="str">
            <v>会計課調達室／サービス調達第１班</v>
          </cell>
          <cell r="AG424" t="str">
            <v>村松</v>
          </cell>
        </row>
        <row r="425">
          <cell r="A425" t="str">
            <v>民426</v>
          </cell>
          <cell r="B425">
            <v>732</v>
          </cell>
          <cell r="C425" t="str">
            <v>ｶﾌﾞﾐﾂ</v>
          </cell>
          <cell r="E425">
            <v>426</v>
          </cell>
          <cell r="F425" t="str">
            <v>株式会社三菱総合研究所</v>
          </cell>
          <cell r="G425" t="str">
            <v>東京都千代田区大手町２－３－６</v>
          </cell>
          <cell r="H425" t="str">
            <v>ODA評価「平和の構築達成に向けた我が国の取り組み評価」業務委嘱</v>
          </cell>
          <cell r="I425" t="str">
            <v>外務省大臣官房会計課長　上月豊久　東京都千代田区霞が関２－２－１</v>
          </cell>
          <cell r="J425">
            <v>38575</v>
          </cell>
          <cell r="K425">
            <v>26974970</v>
          </cell>
          <cell r="L425"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25" t="str">
            <v>見直しの余地があるもの</v>
          </cell>
          <cell r="N425" t="str">
            <v>企画招請を実施（１８年度以降も引き続き実施）</v>
          </cell>
          <cell r="P425" t="str">
            <v>民○</v>
          </cell>
          <cell r="Q425" t="str">
            <v>民</v>
          </cell>
          <cell r="R425" t="str">
            <v>○</v>
          </cell>
          <cell r="S425" t="str">
            <v>民18②</v>
          </cell>
          <cell r="U425" t="str">
            <v>民</v>
          </cell>
          <cell r="W425" t="str">
            <v>②</v>
          </cell>
          <cell r="AA425">
            <v>1700988</v>
          </cell>
          <cell r="AB425">
            <v>1</v>
          </cell>
          <cell r="AC425" t="str">
            <v>17G611</v>
          </cell>
          <cell r="AD425" t="str">
            <v>取扱注意</v>
          </cell>
          <cell r="AE425" t="str">
            <v>経協計</v>
          </cell>
          <cell r="AF425" t="str">
            <v>会計課調達室／サービス調達第１班</v>
          </cell>
          <cell r="AG425" t="str">
            <v>村松</v>
          </cell>
        </row>
        <row r="426">
          <cell r="A426" t="str">
            <v>民427</v>
          </cell>
          <cell r="B426">
            <v>733</v>
          </cell>
          <cell r="C426" t="str">
            <v>ｶﾌﾞﾊﾟﾚ</v>
          </cell>
          <cell r="E426">
            <v>427</v>
          </cell>
          <cell r="F426" t="str">
            <v>株式会社パレスホテル</v>
          </cell>
          <cell r="G426" t="str">
            <v>東京都千代田区丸の内１－１－１</v>
          </cell>
          <cell r="H426" t="str">
            <v>第４６回海外日系人大会出席者との意見交換会・ケータリング契約</v>
          </cell>
          <cell r="I426" t="str">
            <v xml:space="preserve">
外務省大臣官房会計課長　上月豊久
東京都千代田区霞が関２－２－１</v>
          </cell>
          <cell r="J426">
            <v>38575</v>
          </cell>
          <cell r="K426">
            <v>2073750</v>
          </cell>
          <cell r="L426" t="str">
            <v>本件ケータリング業務の請負については、直前の人数変更にも柔軟に対応ができ、且つ国公賓等のレセプションにも対応可能な実績を有する業者である必要がある。これまでの実績に基づき数社より見積を招請し、業者を選定したもの（会計法第２９条の３第４項）。</v>
          </cell>
          <cell r="M426" t="str">
            <v>その他のもの</v>
          </cell>
          <cell r="N426" t="str">
            <v>随意契約によらざるを得ないもの</v>
          </cell>
          <cell r="P426" t="str">
            <v>民×</v>
          </cell>
          <cell r="Q426" t="str">
            <v>民</v>
          </cell>
          <cell r="S426" t="str">
            <v>民1</v>
          </cell>
          <cell r="U426" t="str">
            <v>民</v>
          </cell>
          <cell r="V426" t="str">
            <v>●</v>
          </cell>
          <cell r="AA426">
            <v>1701073</v>
          </cell>
          <cell r="AB426">
            <v>1</v>
          </cell>
          <cell r="AC426" t="str">
            <v>17Q777</v>
          </cell>
          <cell r="AD426" t="str">
            <v>無指定</v>
          </cell>
          <cell r="AE426" t="str">
            <v>領政</v>
          </cell>
          <cell r="AF426" t="str">
            <v>会計課調達室／サービス調達第２班</v>
          </cell>
          <cell r="AG426" t="str">
            <v>小林</v>
          </cell>
        </row>
        <row r="427">
          <cell r="A427" t="str">
            <v>民428</v>
          </cell>
          <cell r="B427">
            <v>734</v>
          </cell>
          <cell r="C427" t="str">
            <v>かぶけん</v>
          </cell>
          <cell r="E427">
            <v>428</v>
          </cell>
          <cell r="F427" t="str">
            <v>（株）ケンウッド</v>
          </cell>
          <cell r="G427" t="str">
            <v>神奈川県横浜市緑区白山１－１６－２</v>
          </cell>
          <cell r="H427" t="str">
            <v>在外公館用ＦＭ放送機等無線機の保守・運用指導（１７年度前期）</v>
          </cell>
          <cell r="I427" t="str">
            <v xml:space="preserve">
外務省大臣官房会計課長　上月豊久
東京都千代田区霞が関２－２－１</v>
          </cell>
          <cell r="J427">
            <v>38576</v>
          </cell>
          <cell r="K427">
            <v>40000280</v>
          </cell>
          <cell r="L427" t="str">
            <v>毎年一般競争入札を行い導入してきた特注の無線機の保守・運用指導業務であるため、他の業者では行えない業務であり、他に競争を許さない（会計法第２９条の３第４項、特定政令に該当）。</v>
          </cell>
          <cell r="M427" t="str">
            <v>その他のもの</v>
          </cell>
          <cell r="N427" t="str">
            <v>随意契約によらざるを得ないもの</v>
          </cell>
          <cell r="P427" t="str">
            <v>民×</v>
          </cell>
          <cell r="Q427" t="str">
            <v>民</v>
          </cell>
          <cell r="S427" t="str">
            <v>民1</v>
          </cell>
          <cell r="U427" t="str">
            <v>民</v>
          </cell>
          <cell r="V427" t="str">
            <v>●</v>
          </cell>
          <cell r="AA427">
            <v>1700876</v>
          </cell>
          <cell r="AB427">
            <v>1</v>
          </cell>
          <cell r="AD427" t="str">
            <v>無指定</v>
          </cell>
          <cell r="AE427" t="str">
            <v>領安</v>
          </cell>
          <cell r="AF427" t="str">
            <v>会計課調達室／サービス調達第１班</v>
          </cell>
          <cell r="AG427" t="str">
            <v>村松</v>
          </cell>
          <cell r="AI427" t="str">
            <v>行政目的を達成するために不可欠な業務を提供することが可能な者から提供を受けるもの</v>
          </cell>
          <cell r="AJ427" t="str">
            <v>ニ（へ）に準ずる</v>
          </cell>
        </row>
        <row r="428">
          <cell r="A428" t="str">
            <v>民429</v>
          </cell>
          <cell r="B428">
            <v>735</v>
          </cell>
          <cell r="C428" t="str">
            <v>ﾈﾑﾛ</v>
          </cell>
          <cell r="E428">
            <v>429</v>
          </cell>
          <cell r="F428" t="str">
            <v>根室市</v>
          </cell>
          <cell r="G428" t="str">
            <v>北海道根室市常磐町２ー２７</v>
          </cell>
          <cell r="H428" t="str">
            <v>北方四島住民支援（患者受入事業：第２回目）</v>
          </cell>
          <cell r="I428" t="str">
            <v xml:space="preserve">
外務省大臣官房会計課長　上月豊久
東京都千代田区霞が関２－２－１</v>
          </cell>
          <cell r="J428">
            <v>38579</v>
          </cell>
          <cell r="K428">
            <v>4304867</v>
          </cell>
          <cell r="L428" t="str">
            <v>人道的観点及び平和条約締結交渉促進の観点から北方四島の患者を受け入れるものであり、事業目的に鑑み、これまでの実績を勘案して受け入れ機関を決定する事とした（会計法第２９条の３第４項）。</v>
          </cell>
          <cell r="M428" t="str">
            <v>その他のもの</v>
          </cell>
          <cell r="N428" t="str">
            <v>随意契約によらざるを得ないもの</v>
          </cell>
          <cell r="P428" t="str">
            <v>民×</v>
          </cell>
          <cell r="Q428" t="str">
            <v>民</v>
          </cell>
          <cell r="S428" t="str">
            <v>民1</v>
          </cell>
          <cell r="U428" t="str">
            <v>民</v>
          </cell>
          <cell r="V428" t="str">
            <v>●</v>
          </cell>
          <cell r="AA428">
            <v>1701062</v>
          </cell>
          <cell r="AB428">
            <v>4</v>
          </cell>
          <cell r="AC428" t="str">
            <v>17G619</v>
          </cell>
          <cell r="AD428" t="str">
            <v>無指定</v>
          </cell>
          <cell r="AE428" t="str">
            <v>欧ロ</v>
          </cell>
          <cell r="AF428" t="str">
            <v>会計課調達室／サービス調達第１班</v>
          </cell>
          <cell r="AG428" t="str">
            <v>村松</v>
          </cell>
        </row>
        <row r="429">
          <cell r="A429" t="str">
            <v>民430</v>
          </cell>
          <cell r="B429">
            <v>736</v>
          </cell>
          <cell r="C429" t="str">
            <v>ｼﾘﾂﾈﾑﾛ</v>
          </cell>
          <cell r="E429">
            <v>430</v>
          </cell>
          <cell r="F429" t="str">
            <v>市立根室病院</v>
          </cell>
          <cell r="G429" t="str">
            <v>北海道根室市有磯町１－２</v>
          </cell>
          <cell r="H429" t="str">
            <v>北方四島住民支援（患者受入事業：第２回目）</v>
          </cell>
          <cell r="I429" t="str">
            <v xml:space="preserve">
外務省大臣官房会計課長　上月豊久
東京都千代田区霞が関２－２－１</v>
          </cell>
          <cell r="J429">
            <v>38579</v>
          </cell>
          <cell r="K429">
            <v>4192728</v>
          </cell>
          <cell r="L429" t="str">
            <v>人道的観点及び平和条約締結交渉促進の観点から北方四島の患者を受け入れるものであり、事業目的に鑑み、これまでの実績を勘案して受け入れ機関を決定する事とした（会計法第２９条の３第４項）。</v>
          </cell>
          <cell r="M429" t="str">
            <v>その他のもの</v>
          </cell>
          <cell r="N429" t="str">
            <v>随意契約によらざるを得ないもの</v>
          </cell>
          <cell r="P429" t="str">
            <v>民×</v>
          </cell>
          <cell r="Q429" t="str">
            <v>民</v>
          </cell>
          <cell r="S429" t="str">
            <v>民1</v>
          </cell>
          <cell r="U429" t="str">
            <v>民</v>
          </cell>
          <cell r="V429" t="str">
            <v>●</v>
          </cell>
          <cell r="AA429">
            <v>1701062</v>
          </cell>
          <cell r="AB429">
            <v>1</v>
          </cell>
          <cell r="AC429" t="str">
            <v>17G619</v>
          </cell>
          <cell r="AD429" t="str">
            <v>無指定</v>
          </cell>
          <cell r="AE429" t="str">
            <v>欧ロ</v>
          </cell>
          <cell r="AF429" t="str">
            <v>会計課調達室／サービス調達第１班</v>
          </cell>
          <cell r="AG429" t="str">
            <v>村松</v>
          </cell>
        </row>
        <row r="430">
          <cell r="A430" t="str">
            <v>民431</v>
          </cell>
          <cell r="B430">
            <v>737</v>
          </cell>
          <cell r="C430" t="str">
            <v>ﾎｯｶｲﾄﾞｳﾀﾞｲｶﾞｸ</v>
          </cell>
          <cell r="E430">
            <v>431</v>
          </cell>
          <cell r="F430" t="str">
            <v>北海道大学病院</v>
          </cell>
          <cell r="G430" t="str">
            <v>北海道札幌市北区北１４条西５</v>
          </cell>
          <cell r="H430" t="str">
            <v>北方四島住民支援（患者受入事業：第２回目）</v>
          </cell>
          <cell r="I430" t="str">
            <v xml:space="preserve">
外務省大臣官房会計課長　上月豊久
東京都千代田区霞が関２－２－１</v>
          </cell>
          <cell r="J430">
            <v>38579</v>
          </cell>
          <cell r="K430">
            <v>3536022</v>
          </cell>
          <cell r="L430" t="str">
            <v>人道的観点及び平和条約締結交渉促進の観点から北方四島の患者を受け入れるものであり、事業目的に鑑み、これまでの実績を勘案して受け入れ機関を決定する事とした（会計法第２９条の３第４項）。</v>
          </cell>
          <cell r="M430" t="str">
            <v>その他のもの</v>
          </cell>
          <cell r="N430" t="str">
            <v>随意契約によらざるを得ないもの</v>
          </cell>
          <cell r="P430" t="str">
            <v>民×</v>
          </cell>
          <cell r="Q430" t="str">
            <v>民</v>
          </cell>
          <cell r="S430" t="str">
            <v>民1</v>
          </cell>
          <cell r="U430" t="str">
            <v>民</v>
          </cell>
          <cell r="V430" t="str">
            <v>●</v>
          </cell>
          <cell r="AA430">
            <v>1701062</v>
          </cell>
          <cell r="AB430">
            <v>3</v>
          </cell>
          <cell r="AC430" t="str">
            <v>17G619</v>
          </cell>
          <cell r="AD430" t="str">
            <v>無指定</v>
          </cell>
          <cell r="AE430" t="str">
            <v>欧ロ</v>
          </cell>
          <cell r="AF430" t="str">
            <v>会計課調達室／サービス調達第１班</v>
          </cell>
          <cell r="AG430" t="str">
            <v>村松</v>
          </cell>
        </row>
        <row r="431">
          <cell r="A431" t="str">
            <v>民432</v>
          </cell>
          <cell r="B431">
            <v>738</v>
          </cell>
          <cell r="C431" t="str">
            <v>ｲﾘｮｳﾎｳｼﾞﾝshﾀﾞﾝ</v>
          </cell>
          <cell r="E431">
            <v>432</v>
          </cell>
          <cell r="F431" t="str">
            <v>医療法人社団三草会クラーク病院</v>
          </cell>
          <cell r="G431" t="str">
            <v>北海道札幌市東区本町２条３－８－２０</v>
          </cell>
          <cell r="H431" t="str">
            <v>北方四島住民支援（患者受入事業：第２回目）</v>
          </cell>
          <cell r="I431" t="str">
            <v xml:space="preserve">
外務省大臣官房会計課長　上月豊久
東京都千代田区霞が関２－２－１</v>
          </cell>
          <cell r="J431">
            <v>38579</v>
          </cell>
          <cell r="K431">
            <v>2300000</v>
          </cell>
          <cell r="L431" t="str">
            <v>人道的観点及び平和条約締結交渉促進の観点から北方四島の患者を受け入れるものであり、事業目的に鑑み、これまでの実績を勘案して受け入れ機関を決定する事とした（会計法第２９条の３第４項）。</v>
          </cell>
          <cell r="M431" t="str">
            <v>その他のもの</v>
          </cell>
          <cell r="N431" t="str">
            <v>随意契約によらざるを得ないもの</v>
          </cell>
          <cell r="P431" t="str">
            <v>民×</v>
          </cell>
          <cell r="Q431" t="str">
            <v>民</v>
          </cell>
          <cell r="S431" t="str">
            <v>民1</v>
          </cell>
          <cell r="U431" t="str">
            <v>民</v>
          </cell>
          <cell r="V431" t="str">
            <v>●</v>
          </cell>
          <cell r="AA431">
            <v>1701062</v>
          </cell>
          <cell r="AB431">
            <v>2</v>
          </cell>
          <cell r="AC431" t="str">
            <v>17G619</v>
          </cell>
          <cell r="AD431" t="str">
            <v>無指定</v>
          </cell>
          <cell r="AE431" t="str">
            <v>欧ロ</v>
          </cell>
          <cell r="AF431" t="str">
            <v>会計課調達室／サービス調達第１班</v>
          </cell>
          <cell r="AG431" t="str">
            <v>村松</v>
          </cell>
        </row>
        <row r="432">
          <cell r="A432" t="str">
            <v>民433</v>
          </cell>
          <cell r="B432">
            <v>739</v>
          </cell>
          <cell r="C432" t="str">
            <v>ﾄｳｷｭｳｶﾝｺｳ</v>
          </cell>
          <cell r="E432">
            <v>433</v>
          </cell>
          <cell r="F432" t="str">
            <v>東急観光株式会社</v>
          </cell>
          <cell r="G432" t="str">
            <v>北海道札幌市中央区北２条西２－７－１</v>
          </cell>
          <cell r="H432" t="str">
            <v>北方四島住民支援（患者受入事業：第２回目）</v>
          </cell>
          <cell r="I432" t="str">
            <v xml:space="preserve">
外務省大臣官房会計課長　上月豊久
東京都千代田区霞が関２－２－１</v>
          </cell>
          <cell r="J432">
            <v>38579</v>
          </cell>
          <cell r="K432">
            <v>2990200</v>
          </cell>
          <cell r="L432" t="str">
            <v>人道的観点及び平和条約締結交渉促進の観点から北方四島の患者を受け入れるものであり、事業日程が直前まで確定せず、事前の公示を行うための時間を確保できなかったため、同社と随意契約を行ったもの（会計法第２９条の３第４項）。</v>
          </cell>
          <cell r="M432" t="str">
            <v>見直しの余地があるもの</v>
          </cell>
          <cell r="N432" t="str">
            <v>１８年度においては当該事務・事業の委託等を行う予定のないもの</v>
          </cell>
          <cell r="P432" t="str">
            <v>民×</v>
          </cell>
          <cell r="Q432" t="str">
            <v>民</v>
          </cell>
          <cell r="S432" t="str">
            <v>民18×</v>
          </cell>
          <cell r="U432" t="str">
            <v>民</v>
          </cell>
          <cell r="W432" t="str">
            <v>×</v>
          </cell>
          <cell r="AA432">
            <v>1701062</v>
          </cell>
          <cell r="AB432">
            <v>5</v>
          </cell>
          <cell r="AC432" t="str">
            <v>17G619</v>
          </cell>
          <cell r="AD432" t="str">
            <v>無指定</v>
          </cell>
          <cell r="AE432" t="str">
            <v>欧ロ</v>
          </cell>
          <cell r="AF432" t="str">
            <v>会計課調達室／サービス調達第１班</v>
          </cell>
          <cell r="AG432" t="str">
            <v>村松</v>
          </cell>
        </row>
        <row r="433">
          <cell r="A433" t="str">
            <v>民434</v>
          </cell>
          <cell r="B433">
            <v>740</v>
          </cell>
          <cell r="C433" t="str">
            <v>ｶﾌﾞｺｸﾘﾂｷｮｳﾄｺｸｻｲ</v>
          </cell>
          <cell r="E433">
            <v>434</v>
          </cell>
          <cell r="F433" t="str">
            <v>株式会社国立京都国際会館食堂</v>
          </cell>
          <cell r="G433" t="str">
            <v>京都府京都市左京区岩倉大鷺町鴨合木４２２</v>
          </cell>
          <cell r="H433" t="str">
            <v>国連軍縮京都会議レセプション・ケータリング契約</v>
          </cell>
          <cell r="I433" t="str">
            <v>外務省大臣官房会計課長　上月豊久　東京都千代田区霞が関２－２－１</v>
          </cell>
          <cell r="J433">
            <v>38579</v>
          </cell>
          <cell r="K433">
            <v>1091475</v>
          </cell>
          <cell r="L433" t="str">
            <v>今回の会議会場は本件共催者である京都市より、国立京都国際会館に決められており、レセプションにおいても同所で行う事が地理的利便性及び日程の都合上不可欠である（会計法第２９条の３第４項）。</v>
          </cell>
          <cell r="M433" t="str">
            <v>見直しの余地があるもの</v>
          </cell>
          <cell r="N433" t="str">
            <v>１８年度において当該事務・事業の委託等を行う予定のないもの</v>
          </cell>
          <cell r="P433" t="str">
            <v>民×</v>
          </cell>
          <cell r="Q433" t="str">
            <v>民</v>
          </cell>
          <cell r="S433" t="str">
            <v>民18×</v>
          </cell>
          <cell r="U433" t="str">
            <v>民</v>
          </cell>
          <cell r="W433" t="str">
            <v>×</v>
          </cell>
          <cell r="AA433">
            <v>1700919</v>
          </cell>
          <cell r="AB433">
            <v>1</v>
          </cell>
          <cell r="AC433" t="str">
            <v>17S724</v>
          </cell>
          <cell r="AD433" t="str">
            <v>無指定</v>
          </cell>
          <cell r="AE433" t="str">
            <v>軍軍</v>
          </cell>
          <cell r="AF433" t="str">
            <v>会計課調達室／サービス調達第２班</v>
          </cell>
          <cell r="AG433" t="str">
            <v>荒井</v>
          </cell>
        </row>
        <row r="434">
          <cell r="A434" t="str">
            <v>民435</v>
          </cell>
          <cell r="B434">
            <v>741</v>
          </cell>
          <cell r="C434" t="str">
            <v>ｶﾌﾞｱｰｽｱﾝﾄﾞ</v>
          </cell>
          <cell r="E434">
            <v>435</v>
          </cell>
          <cell r="F434" t="str">
            <v>株式会社アースアンドヒューマンコーポレーション</v>
          </cell>
          <cell r="G434" t="str">
            <v>東京都町田市玉川学園８－３－２３</v>
          </cell>
          <cell r="H434" t="str">
            <v>ODA評価「セネガル国別評価」業務委嘱</v>
          </cell>
          <cell r="I434" t="str">
            <v>外務省大臣官房会計課長　上月豊久　東京都千代田区霞が関２－２－１</v>
          </cell>
          <cell r="J434">
            <v>38579</v>
          </cell>
          <cell r="K434">
            <v>21999700</v>
          </cell>
          <cell r="L43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34" t="str">
            <v>見直しの余地があるもの</v>
          </cell>
          <cell r="N434" t="str">
            <v>企画招請を実施（１８年度以降も引き続き実施）</v>
          </cell>
          <cell r="P434" t="str">
            <v>民○</v>
          </cell>
          <cell r="Q434" t="str">
            <v>民</v>
          </cell>
          <cell r="R434" t="str">
            <v>○</v>
          </cell>
          <cell r="S434" t="str">
            <v>民18②</v>
          </cell>
          <cell r="U434" t="str">
            <v>民</v>
          </cell>
          <cell r="W434" t="str">
            <v>②</v>
          </cell>
          <cell r="AA434">
            <v>1700897</v>
          </cell>
          <cell r="AB434">
            <v>1</v>
          </cell>
          <cell r="AC434" t="str">
            <v>17G607</v>
          </cell>
          <cell r="AD434" t="str">
            <v>取扱注意</v>
          </cell>
          <cell r="AE434" t="str">
            <v>経協計</v>
          </cell>
          <cell r="AF434" t="str">
            <v>会計課調達室／サービス調達第１班</v>
          </cell>
          <cell r="AG434" t="str">
            <v>村松</v>
          </cell>
        </row>
        <row r="435">
          <cell r="A435" t="str">
            <v>民436</v>
          </cell>
          <cell r="B435">
            <v>742</v>
          </cell>
          <cell r="C435" t="str">
            <v>ｶﾌﾞﾃﾞﾝﾂｰ</v>
          </cell>
          <cell r="E435">
            <v>436</v>
          </cell>
          <cell r="F435" t="str">
            <v>株式会社電通</v>
          </cell>
          <cell r="G435" t="str">
            <v>東京都港区東新橋１－８－１</v>
          </cell>
          <cell r="H435" t="str">
            <v>「在外選挙実施に伴う本邦新聞衛星版への広報文書掲載」契約</v>
          </cell>
          <cell r="I435" t="str">
            <v xml:space="preserve">
外務省大臣官房会計課長　上月豊久
東京都千代田区霞が関２－２－１</v>
          </cell>
          <cell r="J435">
            <v>38583</v>
          </cell>
          <cell r="K435">
            <v>18280500</v>
          </cell>
          <cell r="L435" t="str">
            <v>在外選挙有権者の投票権行使の機会を最大限確保するためには、衆議院解散後直ちに広報を行う必要があったことから、競争に付することができなかった。契約相手方はこれまで同様業務を請け負う中で業務遂行の迅速性・正確性について、他に類を見ない優れた実績とノウハウを有しており、他に競争を許さない（会計法第２９条の３第４項、特定政令に該当）。</v>
          </cell>
          <cell r="M435" t="str">
            <v>見直しの余地があるもの</v>
          </cell>
          <cell r="N435" t="str">
            <v>１８年度において当該事務・事業の委託等を行う予定のないもの</v>
          </cell>
          <cell r="P435" t="str">
            <v>民×</v>
          </cell>
          <cell r="Q435" t="str">
            <v>民</v>
          </cell>
          <cell r="S435" t="str">
            <v>民18×</v>
          </cell>
          <cell r="U435" t="str">
            <v>民</v>
          </cell>
          <cell r="W435" t="str">
            <v>×</v>
          </cell>
          <cell r="AA435">
            <v>1700990</v>
          </cell>
          <cell r="AB435">
            <v>1</v>
          </cell>
          <cell r="AC435" t="str">
            <v>17X264</v>
          </cell>
          <cell r="AD435" t="str">
            <v xml:space="preserve"> </v>
          </cell>
          <cell r="AE435" t="str">
            <v>領政</v>
          </cell>
          <cell r="AF435" t="str">
            <v>会計課調達室／サービス調達第１班</v>
          </cell>
          <cell r="AG435" t="str">
            <v>村松</v>
          </cell>
        </row>
        <row r="436">
          <cell r="A436" t="str">
            <v>民437</v>
          </cell>
          <cell r="B436">
            <v>743</v>
          </cell>
          <cell r="C436" t="str">
            <v>ﾎｯﾎﾟｳﾘｮｳﾄﾞ</v>
          </cell>
          <cell r="E436">
            <v>437</v>
          </cell>
          <cell r="F436" t="str">
            <v>北方領土返還要求北海道・東北国民大会実行委員会</v>
          </cell>
          <cell r="G436" t="str">
            <v>北海道札幌市中央区北４条西５</v>
          </cell>
          <cell r="H436" t="str">
            <v>「北方領土返還要求北海道・東北国民大会」開催事業委嘱</v>
          </cell>
          <cell r="I436" t="str">
            <v xml:space="preserve">
外務省大臣官房会計課長　上月豊久
東京都千代田区霞が関２－２－１</v>
          </cell>
          <cell r="J436">
            <v>38586</v>
          </cell>
          <cell r="K436">
            <v>1065450</v>
          </cell>
          <cell r="L436" t="str">
            <v>本件大会の実施団体である大会実行委員会に大会実施業務を委嘱するものであり、他に競争を許さない（会計法第２９条の３第４項）。</v>
          </cell>
          <cell r="M436" t="str">
            <v>その他のもの</v>
          </cell>
          <cell r="N436" t="str">
            <v>随意契約によらざるを得ないもの</v>
          </cell>
          <cell r="P436" t="str">
            <v>民×</v>
          </cell>
          <cell r="Q436" t="str">
            <v>民</v>
          </cell>
          <cell r="S436" t="str">
            <v>民1</v>
          </cell>
          <cell r="U436" t="str">
            <v>民</v>
          </cell>
          <cell r="V436" t="str">
            <v>●</v>
          </cell>
          <cell r="AA436">
            <v>1700995</v>
          </cell>
          <cell r="AB436">
            <v>1</v>
          </cell>
          <cell r="AC436" t="str">
            <v>17G614</v>
          </cell>
          <cell r="AD436" t="str">
            <v>無指定</v>
          </cell>
          <cell r="AE436" t="str">
            <v>欧ロ</v>
          </cell>
          <cell r="AF436" t="str">
            <v>会計課調達室／サービス調達第１班</v>
          </cell>
          <cell r="AG436" t="str">
            <v>村松</v>
          </cell>
        </row>
        <row r="437">
          <cell r="A437" t="str">
            <v>民438</v>
          </cell>
          <cell r="B437">
            <v>744</v>
          </cell>
          <cell r="C437" t="str">
            <v>ｿﾆｰﾋﾞｰｼｰ</v>
          </cell>
          <cell r="E437">
            <v>438</v>
          </cell>
          <cell r="F437" t="str">
            <v>ソニーピーシーエル株式会社</v>
          </cell>
          <cell r="G437" t="str">
            <v>東京都品川区上大崎２－１３－１７</v>
          </cell>
          <cell r="H437" t="str">
            <v>アジア・太平洋諸国向け政府広報ビデオの制作</v>
          </cell>
          <cell r="I437" t="str">
            <v>外務省大臣官房会計課長　上月豊久　東京都千代田区霞が関２－２－１</v>
          </cell>
          <cell r="J437">
            <v>38589</v>
          </cell>
          <cell r="K437">
            <v>31000000</v>
          </cell>
          <cell r="L437" t="str">
            <v>公示の上、資料提供企画招請を行い、提出された企画書審査等を通じ企画内容・見積額等により判断し、同社が最も高い評価を得て確実な業務の履行が可能であると認められたもの（会計法第２９条の３第４項、特定政令に該当）</v>
          </cell>
          <cell r="M437" t="str">
            <v>見直しの余地があるもの</v>
          </cell>
          <cell r="N437" t="str">
            <v>企画招請を実施（１８年度においても引き続き実施）</v>
          </cell>
          <cell r="P437" t="str">
            <v>民○</v>
          </cell>
          <cell r="Q437" t="str">
            <v>民</v>
          </cell>
          <cell r="R437" t="str">
            <v>○</v>
          </cell>
          <cell r="S437" t="str">
            <v>民18②</v>
          </cell>
          <cell r="U437" t="str">
            <v>民</v>
          </cell>
          <cell r="W437" t="str">
            <v>②</v>
          </cell>
          <cell r="AA437">
            <v>1700999</v>
          </cell>
          <cell r="AB437">
            <v>1</v>
          </cell>
          <cell r="AC437" t="str">
            <v>17X231</v>
          </cell>
          <cell r="AD437" t="str">
            <v>無指定</v>
          </cell>
          <cell r="AE437" t="str">
            <v>広文総</v>
          </cell>
          <cell r="AF437" t="str">
            <v>会計課調達室／サービス調達第１班</v>
          </cell>
          <cell r="AG437" t="str">
            <v>村松</v>
          </cell>
        </row>
        <row r="438">
          <cell r="A438" t="str">
            <v>民439</v>
          </cell>
          <cell r="B438">
            <v>745</v>
          </cell>
          <cell r="C438" t="str">
            <v>ｶﾌﾞﾏﾈ</v>
          </cell>
          <cell r="E438">
            <v>439</v>
          </cell>
          <cell r="F438" t="str">
            <v>株式会社マネジメントサービスセンター</v>
          </cell>
          <cell r="G438" t="str">
            <v>東京都渋谷区代々木１－４７－９</v>
          </cell>
          <cell r="H438" t="str">
            <v>省内研修「ヒューマンアセスメント研修」</v>
          </cell>
          <cell r="I438" t="str">
            <v xml:space="preserve">
外務省大臣官房会計課長　上月豊久
東京都千代田区霞が関２－２－１</v>
          </cell>
          <cell r="J438">
            <v>38589</v>
          </cell>
          <cell r="K438">
            <v>3351600</v>
          </cell>
          <cell r="L438" t="str">
            <v>当方の求める研修効果を上げるために必要なノウハウ、知見を有する唯一の機関であり、他に競争を許さない（会計法第２９条の３第４項）。</v>
          </cell>
          <cell r="M438" t="str">
            <v>見直しの余地があるもの</v>
          </cell>
          <cell r="N438" t="str">
            <v>競争入札もしくは企画招請に移行(平成１９年度実施分より)</v>
          </cell>
          <cell r="P438" t="str">
            <v>民×</v>
          </cell>
          <cell r="Q438" t="str">
            <v>民</v>
          </cell>
          <cell r="S438" t="str">
            <v>民19②</v>
          </cell>
          <cell r="U438" t="str">
            <v>民</v>
          </cell>
          <cell r="X438" t="str">
            <v>①②</v>
          </cell>
          <cell r="AA438">
            <v>1700991</v>
          </cell>
          <cell r="AB438">
            <v>1</v>
          </cell>
          <cell r="AC438" t="str">
            <v>17G617</v>
          </cell>
          <cell r="AD438" t="str">
            <v>取扱注意</v>
          </cell>
          <cell r="AE438" t="str">
            <v>人</v>
          </cell>
          <cell r="AF438" t="str">
            <v>会計課調達室／サービス調達第１班</v>
          </cell>
          <cell r="AG438" t="str">
            <v>村松</v>
          </cell>
        </row>
        <row r="439">
          <cell r="A439" t="str">
            <v>民440</v>
          </cell>
          <cell r="B439">
            <v>746</v>
          </cell>
          <cell r="C439" t="str">
            <v>ｻﾞｲｼｬｶｲｹｲｻﾞｲ</v>
          </cell>
          <cell r="E439">
            <v>440</v>
          </cell>
          <cell r="F439" t="str">
            <v>財団法人社会経済生産性本部</v>
          </cell>
          <cell r="G439" t="str">
            <v>東京都渋谷区渋谷３－１－１</v>
          </cell>
          <cell r="H439" t="str">
            <v>「日本センター巡回講座・訪日研修（顧客満足）」実施委嘱</v>
          </cell>
          <cell r="I439" t="str">
            <v xml:space="preserve">
外務省大臣官房会計課長　上月豊久
東京都千代田区霞が関２－２－１</v>
          </cell>
          <cell r="J439">
            <v>38590</v>
          </cell>
          <cell r="K439">
            <v>15532941</v>
          </cell>
          <cell r="L43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39" t="str">
            <v>見直しの余地があるもの</v>
          </cell>
          <cell r="N439" t="str">
            <v>企画招請を実施（１８年度以降も引き続き実施）</v>
          </cell>
          <cell r="P439" t="str">
            <v>民○</v>
          </cell>
          <cell r="Q439" t="str">
            <v>民</v>
          </cell>
          <cell r="R439" t="str">
            <v>○</v>
          </cell>
          <cell r="S439" t="str">
            <v>民18②</v>
          </cell>
          <cell r="U439" t="str">
            <v>民</v>
          </cell>
          <cell r="W439" t="str">
            <v>②</v>
          </cell>
          <cell r="AA439">
            <v>1701029</v>
          </cell>
          <cell r="AB439">
            <v>1</v>
          </cell>
          <cell r="AC439" t="str">
            <v>17G446</v>
          </cell>
          <cell r="AD439" t="str">
            <v>無指定</v>
          </cell>
          <cell r="AE439" t="str">
            <v>欧支</v>
          </cell>
          <cell r="AF439" t="str">
            <v>会計課調達室／サービス調達第１班</v>
          </cell>
          <cell r="AG439" t="str">
            <v>村松</v>
          </cell>
        </row>
        <row r="440">
          <cell r="A440" t="str">
            <v>民441</v>
          </cell>
          <cell r="B440">
            <v>747</v>
          </cell>
          <cell r="C440" t="str">
            <v>ｶﾌﾞﾉﾑﾗ</v>
          </cell>
          <cell r="E440">
            <v>441</v>
          </cell>
          <cell r="F440" t="str">
            <v>株式会社野村総合研究所</v>
          </cell>
          <cell r="G440" t="str">
            <v>東京都千代田区丸の内１－６－５</v>
          </cell>
          <cell r="H440" t="str">
            <v>ODA評価「一般財政支援（ベトナムＰＲＳＣ、タンザニアＰＲＢＳ）のレビュー」業務委嘱</v>
          </cell>
          <cell r="I440" t="str">
            <v>外務省大臣官房会計課長　上月豊久　東京都千代田区霞が関２－２－１</v>
          </cell>
          <cell r="J440">
            <v>38590</v>
          </cell>
          <cell r="K440">
            <v>18810876</v>
          </cell>
          <cell r="L440"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40" t="str">
            <v>見直しの余地があるもの</v>
          </cell>
          <cell r="N440" t="str">
            <v>企画招請を実施（１８年度以降も引き続き実施）</v>
          </cell>
          <cell r="P440" t="str">
            <v>民○</v>
          </cell>
          <cell r="Q440" t="str">
            <v>民</v>
          </cell>
          <cell r="R440" t="str">
            <v>○</v>
          </cell>
          <cell r="S440" t="str">
            <v>民18②</v>
          </cell>
          <cell r="U440" t="str">
            <v>民</v>
          </cell>
          <cell r="W440" t="str">
            <v>②</v>
          </cell>
          <cell r="AA440">
            <v>1700998</v>
          </cell>
          <cell r="AB440">
            <v>1</v>
          </cell>
          <cell r="AC440" t="str">
            <v>17G618</v>
          </cell>
          <cell r="AD440" t="str">
            <v>取扱注意</v>
          </cell>
          <cell r="AE440" t="str">
            <v>経協計</v>
          </cell>
          <cell r="AF440" t="str">
            <v>会計課調達室／サービス調達第１班</v>
          </cell>
          <cell r="AG440" t="str">
            <v>村松</v>
          </cell>
        </row>
        <row r="441">
          <cell r="A441" t="str">
            <v>民442</v>
          </cell>
          <cell r="B441">
            <v>748</v>
          </cell>
          <cell r="C441" t="str">
            <v>ｶﾌﾞｼﾞｪｲｺﾑ</v>
          </cell>
          <cell r="E441">
            <v>442</v>
          </cell>
          <cell r="F441" t="str">
            <v>株式会社ジェイコム</v>
          </cell>
          <cell r="G441" t="str">
            <v>東京都中央区銀座３－１０－９</v>
          </cell>
          <cell r="H441" t="str">
            <v>２００５年　日・ＥＵ市民交流年事業「ヨーロッパ秋祭りｉｎ日比谷」開催業務委嘱</v>
          </cell>
          <cell r="I441" t="str">
            <v xml:space="preserve">
外務省大臣官房会計課長　上月豊久
東京都千代田区霞が関２－２－１</v>
          </cell>
          <cell r="J441">
            <v>38595</v>
          </cell>
          <cell r="K441">
            <v>21949620</v>
          </cell>
          <cell r="L441"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41" t="str">
            <v>見直しの余地があるもの</v>
          </cell>
          <cell r="N441" t="str">
            <v>１８年度以降において当該事務・事業の委託等を行う予定のないもの</v>
          </cell>
          <cell r="P441" t="str">
            <v>民○</v>
          </cell>
          <cell r="Q441" t="str">
            <v>民</v>
          </cell>
          <cell r="R441" t="str">
            <v>○</v>
          </cell>
          <cell r="S441" t="str">
            <v>民18×</v>
          </cell>
          <cell r="U441" t="str">
            <v>民</v>
          </cell>
          <cell r="W441" t="str">
            <v>×</v>
          </cell>
          <cell r="AA441">
            <v>1701063</v>
          </cell>
          <cell r="AB441">
            <v>1</v>
          </cell>
          <cell r="AC441" t="str">
            <v>17X256</v>
          </cell>
          <cell r="AD441" t="str">
            <v>取扱注意</v>
          </cell>
          <cell r="AE441" t="str">
            <v>欧政策</v>
          </cell>
          <cell r="AF441" t="str">
            <v>会計課調達室／サービス調達第２班</v>
          </cell>
          <cell r="AG441" t="str">
            <v>小林</v>
          </cell>
        </row>
        <row r="442">
          <cell r="A442" t="str">
            <v>民443</v>
          </cell>
          <cell r="B442">
            <v>749</v>
          </cell>
          <cell r="C442" t="str">
            <v>ｸﾞﾛｰﾊﾞﾙ</v>
          </cell>
          <cell r="E442">
            <v>443</v>
          </cell>
          <cell r="F442" t="str">
            <v>グローバルリンクマネージメント株式会社</v>
          </cell>
          <cell r="G442" t="str">
            <v>東京都港区南青山５－１０－１９</v>
          </cell>
          <cell r="H442" t="str">
            <v>ODA評価「草の根・人間の安全保障無償協力の評価」業務委嘱</v>
          </cell>
          <cell r="I442" t="str">
            <v>外務省大臣官房会計課長　上月豊久　東京都千代田区霞が関２－２－１</v>
          </cell>
          <cell r="J442">
            <v>38595</v>
          </cell>
          <cell r="K442">
            <v>18995550</v>
          </cell>
          <cell r="L442"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42" t="str">
            <v>見直しの余地があるもの</v>
          </cell>
          <cell r="N442" t="str">
            <v>企画招請を実施（１８年度以降も引き続き実施）</v>
          </cell>
          <cell r="P442" t="str">
            <v>民○</v>
          </cell>
          <cell r="Q442" t="str">
            <v>民</v>
          </cell>
          <cell r="R442" t="str">
            <v>○</v>
          </cell>
          <cell r="S442" t="str">
            <v>民18②</v>
          </cell>
          <cell r="U442" t="str">
            <v>民</v>
          </cell>
          <cell r="W442" t="str">
            <v>②</v>
          </cell>
          <cell r="AA442">
            <v>1701025</v>
          </cell>
          <cell r="AB442">
            <v>1</v>
          </cell>
          <cell r="AC442" t="str">
            <v>17G635</v>
          </cell>
          <cell r="AD442" t="str">
            <v>取扱注意</v>
          </cell>
          <cell r="AE442" t="str">
            <v>経協計</v>
          </cell>
          <cell r="AF442" t="str">
            <v>会計課調達室／サービス調達第１班</v>
          </cell>
          <cell r="AG442" t="str">
            <v>村松</v>
          </cell>
        </row>
        <row r="443">
          <cell r="A443" t="str">
            <v>民444</v>
          </cell>
          <cell r="B443">
            <v>750</v>
          </cell>
          <cell r="C443" t="str">
            <v>ｶﾌﾞｺｸｻｲｷｮｳﾘｮｸｼｭｯﾊﾟﾝ</v>
          </cell>
          <cell r="E443">
            <v>444</v>
          </cell>
          <cell r="F443" t="str">
            <v>株式会社国際協力出版会</v>
          </cell>
          <cell r="G443" t="str">
            <v>東京都渋谷区代々木１－５８－１</v>
          </cell>
          <cell r="H443" t="str">
            <v>「教育分野における日本の国際協力の取り組み（仮称）」パンフレット作成</v>
          </cell>
          <cell r="I443" t="str">
            <v>外務省大臣官房会計課長　上月豊久　東京都千代田区霞が関２－２－１</v>
          </cell>
          <cell r="J443">
            <v>38596</v>
          </cell>
          <cell r="K443">
            <v>3999576</v>
          </cell>
          <cell r="L443"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43" t="str">
            <v>見直しの余地があるもの</v>
          </cell>
          <cell r="N443" t="str">
            <v>１８年度において当該事務・事業の委託等を行う予定のないもの</v>
          </cell>
          <cell r="P443" t="str">
            <v>民○</v>
          </cell>
          <cell r="Q443" t="str">
            <v>民</v>
          </cell>
          <cell r="R443" t="str">
            <v>○</v>
          </cell>
          <cell r="S443" t="str">
            <v>民18×</v>
          </cell>
          <cell r="U443" t="str">
            <v>民</v>
          </cell>
          <cell r="W443" t="str">
            <v>×</v>
          </cell>
          <cell r="AA443">
            <v>1701027</v>
          </cell>
          <cell r="AB443">
            <v>1</v>
          </cell>
          <cell r="AC443" t="str">
            <v>17X273</v>
          </cell>
          <cell r="AD443" t="str">
            <v>無指定</v>
          </cell>
          <cell r="AE443" t="str">
            <v>経協計</v>
          </cell>
          <cell r="AF443" t="str">
            <v>会計課調達室／サービス調達第１班</v>
          </cell>
          <cell r="AG443" t="str">
            <v>村松</v>
          </cell>
        </row>
        <row r="444">
          <cell r="A444" t="str">
            <v>民445</v>
          </cell>
          <cell r="B444">
            <v>751</v>
          </cell>
          <cell r="C444" t="str">
            <v>ｶﾞｯｺｳﾎｳｼﾞﾝｻﾉ</v>
          </cell>
          <cell r="E444">
            <v>445</v>
          </cell>
          <cell r="F444" t="str">
            <v>学校法人佐野学園</v>
          </cell>
          <cell r="G444" t="str">
            <v>東京都港区西新橋１－６－１２</v>
          </cell>
          <cell r="H444" t="str">
            <v>中堅職員英語研修実施契約</v>
          </cell>
          <cell r="I444" t="str">
            <v>外務省大臣官房会計課長　上月豊久　東京都千代田区霞が関２－２－１</v>
          </cell>
          <cell r="J444">
            <v>38597</v>
          </cell>
          <cell r="K444">
            <v>1340000</v>
          </cell>
          <cell r="L44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44" t="str">
            <v>見直しの余地があるもの</v>
          </cell>
          <cell r="N444" t="str">
            <v>企画招請を実施（１８年度以降も引き続き実施）</v>
          </cell>
          <cell r="P444" t="str">
            <v>民○</v>
          </cell>
          <cell r="Q444" t="str">
            <v>民</v>
          </cell>
          <cell r="R444" t="str">
            <v>○</v>
          </cell>
          <cell r="S444" t="str">
            <v>民18②</v>
          </cell>
          <cell r="U444" t="str">
            <v>民</v>
          </cell>
          <cell r="W444" t="str">
            <v>②</v>
          </cell>
          <cell r="AA444">
            <v>1701043</v>
          </cell>
          <cell r="AB444">
            <v>1</v>
          </cell>
          <cell r="AC444" t="str">
            <v>17G646</v>
          </cell>
          <cell r="AD444" t="str">
            <v>無指定</v>
          </cell>
          <cell r="AE444" t="str">
            <v>外研</v>
          </cell>
          <cell r="AF444" t="str">
            <v>会計課調達室／サービス調達第１班</v>
          </cell>
          <cell r="AG444" t="str">
            <v>村松</v>
          </cell>
        </row>
        <row r="445">
          <cell r="A445" t="str">
            <v>民446</v>
          </cell>
          <cell r="B445">
            <v>752</v>
          </cell>
          <cell r="C445" t="str">
            <v>ｺﾝﾄﾛｰﾙ</v>
          </cell>
          <cell r="E445">
            <v>446</v>
          </cell>
          <cell r="F445" t="str">
            <v>コントロール・リスクス・グループ株式会社</v>
          </cell>
          <cell r="G445" t="str">
            <v>東京都千代田区一番町２</v>
          </cell>
          <cell r="H445" t="str">
            <v>「中南米地域における危機管理セミナー」開催事業委嘱</v>
          </cell>
          <cell r="I445" t="str">
            <v xml:space="preserve">
外務省大臣官房会計課長　上月豊久
東京都千代田区霞が関２－２－１</v>
          </cell>
          <cell r="J445">
            <v>38600</v>
          </cell>
          <cell r="K445">
            <v>7903000</v>
          </cell>
          <cell r="L445" t="str">
            <v>契約目的を履行可能なノウハウを持ち、海外でのセミナー開催におけるロジ面でのサポートを受益可能な機関は契約相手先のみであり、他に競争を許さない（会計法第２９条の３第４項）。</v>
          </cell>
          <cell r="M445" t="str">
            <v>見直しの余地があるもの</v>
          </cell>
          <cell r="N445" t="str">
            <v>企画招請を実施（１８年度から）</v>
          </cell>
          <cell r="P445" t="str">
            <v>民×</v>
          </cell>
          <cell r="Q445" t="str">
            <v>民</v>
          </cell>
          <cell r="S445" t="str">
            <v>民18②</v>
          </cell>
          <cell r="U445" t="str">
            <v>民</v>
          </cell>
          <cell r="W445" t="str">
            <v>②</v>
          </cell>
          <cell r="AA445">
            <v>1701066</v>
          </cell>
          <cell r="AB445">
            <v>1</v>
          </cell>
          <cell r="AC445" t="str">
            <v>17G498</v>
          </cell>
          <cell r="AD445" t="str">
            <v>取扱注意</v>
          </cell>
          <cell r="AE445" t="str">
            <v>北米保</v>
          </cell>
          <cell r="AF445" t="str">
            <v>会計課調達室／サービス調達第１班</v>
          </cell>
          <cell r="AG445" t="str">
            <v>村松</v>
          </cell>
        </row>
        <row r="446">
          <cell r="A446" t="str">
            <v>民447</v>
          </cell>
          <cell r="B446">
            <v>753</v>
          </cell>
          <cell r="C446" t="str">
            <v>ｶﾌﾞﾐﾂﾋﾞｼｿｳｺﾞｳ</v>
          </cell>
          <cell r="E446">
            <v>447</v>
          </cell>
          <cell r="F446" t="str">
            <v>株式会社三菱総合研究所</v>
          </cell>
          <cell r="G446" t="str">
            <v>東京都千代田区大手町２－３－６</v>
          </cell>
          <cell r="H446" t="str">
            <v>「吉林省集安市における現地調査」委嘱契約</v>
          </cell>
          <cell r="I446" t="str">
            <v>外務省大臣官房会計課長　上月豊久　東京都千代田区霞が関２－２－１</v>
          </cell>
          <cell r="J446">
            <v>38602</v>
          </cell>
          <cell r="K446">
            <v>8468549</v>
          </cell>
          <cell r="L446" t="str">
            <v>旧日本軍が遺棄したと見られる毒ガス弾による被害発生に伴い、一刻も早く現地調査を行う必要があった事から、これまで同業務に関するノウハウを有し、調査に必要な特殊機材を保有する契約相手先と緊急に契約を行ったもの（会計法第２９条の３第４項）。</v>
          </cell>
          <cell r="M446" t="str">
            <v>見直しの余地があるもの</v>
          </cell>
          <cell r="N446" t="str">
            <v>18年度において当該事務・事業の委託を行わないもの</v>
          </cell>
          <cell r="P446" t="str">
            <v>民×</v>
          </cell>
          <cell r="Q446" t="str">
            <v>民</v>
          </cell>
          <cell r="S446" t="str">
            <v>民18×</v>
          </cell>
          <cell r="U446" t="str">
            <v>民</v>
          </cell>
          <cell r="W446" t="str">
            <v>×</v>
          </cell>
          <cell r="AA446">
            <v>1701156</v>
          </cell>
          <cell r="AB446">
            <v>1</v>
          </cell>
          <cell r="AC446" t="str">
            <v>17G692</v>
          </cell>
          <cell r="AD446" t="str">
            <v>無指定</v>
          </cell>
          <cell r="AE446" t="str">
            <v>亜中</v>
          </cell>
          <cell r="AF446" t="str">
            <v>会計課調達室／サービス調達第１班</v>
          </cell>
          <cell r="AG446" t="str">
            <v>竹澤</v>
          </cell>
        </row>
        <row r="447">
          <cell r="A447" t="str">
            <v>民448</v>
          </cell>
          <cell r="B447">
            <v>754</v>
          </cell>
          <cell r="C447" t="str">
            <v>ｶﾌﾞｻｲ</v>
          </cell>
          <cell r="E447">
            <v>448</v>
          </cell>
          <cell r="F447" t="str">
            <v>株式会社サイマル・インターナショナル</v>
          </cell>
          <cell r="G447" t="str">
            <v>東京都港区虎ノ門１－２５－５　</v>
          </cell>
          <cell r="H447" t="str">
            <v>「外交実務語学研修」実施委嘱</v>
          </cell>
          <cell r="I447" t="str">
            <v>外務省大臣官房会計課長　上月豊久　東京都千代田区霞が関２－２－１</v>
          </cell>
          <cell r="J447">
            <v>38602</v>
          </cell>
          <cell r="K447">
            <v>2993340</v>
          </cell>
          <cell r="L447"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47" t="str">
            <v>見直しの余地があるもの</v>
          </cell>
          <cell r="N447" t="str">
            <v>企画招請を実施（１８年度以降も引き続き実施）</v>
          </cell>
          <cell r="P447" t="str">
            <v>民○</v>
          </cell>
          <cell r="Q447" t="str">
            <v>民</v>
          </cell>
          <cell r="R447" t="str">
            <v>○</v>
          </cell>
          <cell r="S447" t="str">
            <v>民18②</v>
          </cell>
          <cell r="U447" t="str">
            <v>民</v>
          </cell>
          <cell r="W447" t="str">
            <v>②</v>
          </cell>
          <cell r="AA447">
            <v>1701031</v>
          </cell>
          <cell r="AB447">
            <v>1</v>
          </cell>
          <cell r="AC447" t="str">
            <v>17G663</v>
          </cell>
          <cell r="AD447" t="str">
            <v>無指定</v>
          </cell>
          <cell r="AE447" t="str">
            <v>外研</v>
          </cell>
          <cell r="AF447" t="str">
            <v>会計課調達室／サービス調達第１班</v>
          </cell>
          <cell r="AG447" t="str">
            <v>村松</v>
          </cell>
        </row>
        <row r="448">
          <cell r="A448" t="str">
            <v>民449</v>
          </cell>
          <cell r="B448">
            <v>755</v>
          </cell>
          <cell r="C448" t="str">
            <v>ｻﾞｲｼｬｶｲｹｲｻﾞｲ</v>
          </cell>
          <cell r="E448">
            <v>449</v>
          </cell>
          <cell r="F448" t="str">
            <v>財団法人社会経済生産性本部</v>
          </cell>
          <cell r="G448" t="str">
            <v>東京都渋谷区渋谷３－１－１</v>
          </cell>
          <cell r="H448" t="str">
            <v>「日本センター巡回講座・訪日研修（顧客満足）」実施委嘱</v>
          </cell>
          <cell r="I448" t="str">
            <v xml:space="preserve">
外務省大臣官房会計課長　上月豊久
東京都千代田区霞が関２－２－１</v>
          </cell>
          <cell r="J448">
            <v>38604</v>
          </cell>
          <cell r="K448">
            <v>14672355</v>
          </cell>
          <cell r="L448"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48" t="str">
            <v>見直しの余地があるもの</v>
          </cell>
          <cell r="N448" t="str">
            <v>企画招請を実施（１８年度以降も引き続き実施）</v>
          </cell>
          <cell r="P448" t="str">
            <v>民○</v>
          </cell>
          <cell r="Q448" t="str">
            <v>民</v>
          </cell>
          <cell r="R448" t="str">
            <v>○</v>
          </cell>
          <cell r="S448" t="str">
            <v>民18②</v>
          </cell>
          <cell r="U448" t="str">
            <v>民</v>
          </cell>
          <cell r="W448" t="str">
            <v>②</v>
          </cell>
          <cell r="AA448">
            <v>1701030</v>
          </cell>
          <cell r="AB448">
            <v>1</v>
          </cell>
          <cell r="AC448" t="str">
            <v>17G447</v>
          </cell>
          <cell r="AD448" t="str">
            <v>無指定</v>
          </cell>
          <cell r="AE448" t="str">
            <v>欧支</v>
          </cell>
          <cell r="AF448" t="str">
            <v>会計課調達室／サービス調達第１班</v>
          </cell>
          <cell r="AG448" t="str">
            <v>村松</v>
          </cell>
        </row>
        <row r="449">
          <cell r="A449" t="str">
            <v>民450</v>
          </cell>
          <cell r="B449">
            <v>756</v>
          </cell>
          <cell r="C449" t="str">
            <v>ｶﾌﾞﾉﾑﾗ</v>
          </cell>
          <cell r="E449">
            <v>450</v>
          </cell>
          <cell r="F449" t="str">
            <v>株式会社野村総合研究所</v>
          </cell>
          <cell r="G449" t="str">
            <v>東京都千代田区丸の内１－６－５</v>
          </cell>
          <cell r="H449" t="str">
            <v>ＯＤＡ評価「フィリピン教育分野の評価」業務委嘱</v>
          </cell>
          <cell r="I449" t="str">
            <v>外務省大臣官房会計課長　上月豊久　東京都千代田区霞が関２－２－１</v>
          </cell>
          <cell r="J449">
            <v>38604</v>
          </cell>
          <cell r="K449">
            <v>16890328</v>
          </cell>
          <cell r="L44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49" t="str">
            <v>見直しの余地があるもの</v>
          </cell>
          <cell r="N449" t="str">
            <v>企画招請を実施（１８年度以降も引き続き実施）</v>
          </cell>
          <cell r="P449" t="str">
            <v>民○</v>
          </cell>
          <cell r="Q449" t="str">
            <v>民</v>
          </cell>
          <cell r="R449" t="str">
            <v>○</v>
          </cell>
          <cell r="S449" t="str">
            <v>民18②</v>
          </cell>
          <cell r="U449" t="str">
            <v>民</v>
          </cell>
          <cell r="W449" t="str">
            <v>②</v>
          </cell>
          <cell r="AA449">
            <v>1701042</v>
          </cell>
          <cell r="AB449">
            <v>1</v>
          </cell>
          <cell r="AC449" t="str">
            <v>17G683</v>
          </cell>
          <cell r="AD449" t="str">
            <v>取扱注意</v>
          </cell>
          <cell r="AE449" t="str">
            <v>経協計</v>
          </cell>
          <cell r="AF449" t="str">
            <v>会計課調達室／サービス調達第１班</v>
          </cell>
          <cell r="AG449" t="str">
            <v>村松</v>
          </cell>
        </row>
        <row r="450">
          <cell r="A450" t="str">
            <v>民451</v>
          </cell>
          <cell r="B450">
            <v>757</v>
          </cell>
          <cell r="C450" t="str">
            <v>ｶﾌﾞｻｲ</v>
          </cell>
          <cell r="E450">
            <v>451</v>
          </cell>
          <cell r="F450" t="str">
            <v>株式会社サイマル・インターナショナル</v>
          </cell>
          <cell r="G450" t="str">
            <v>東京都港区虎ノ門１－２５－５</v>
          </cell>
          <cell r="H450" t="str">
            <v>「第２回ＡＣＤ環境教育推進対話会議運営」業務委嘱</v>
          </cell>
          <cell r="I450" t="str">
            <v>外務省大臣官房会計課長　上月豊久　東京都千代田区霞が関２－２－１</v>
          </cell>
          <cell r="J450">
            <v>38609</v>
          </cell>
          <cell r="K450">
            <v>3280459</v>
          </cell>
          <cell r="L450" t="str">
            <v>公示の上企画招請を行ったが、当方指定の要件に達する入札資格を有した業者の応札がなく、再度広告のための時間的余裕がなかったことから、同様事業に経験のある業者より見積書を招請の上、委嘱先を決定したもの（会計法第２９条の３第４項）</v>
          </cell>
          <cell r="M450" t="str">
            <v>見直しの余地があるもの</v>
          </cell>
          <cell r="N450" t="str">
            <v>競争入札または企画招請への移行を検討(平成１９年度から)</v>
          </cell>
          <cell r="P450" t="str">
            <v>民×</v>
          </cell>
          <cell r="Q450" t="str">
            <v>民</v>
          </cell>
          <cell r="S450" t="str">
            <v>民19②</v>
          </cell>
          <cell r="U450" t="str">
            <v>民</v>
          </cell>
          <cell r="X450" t="str">
            <v>①②</v>
          </cell>
          <cell r="AA450">
            <v>1701162</v>
          </cell>
          <cell r="AB450">
            <v>1</v>
          </cell>
          <cell r="AC450" t="str">
            <v>17F145</v>
          </cell>
          <cell r="AD450" t="str">
            <v xml:space="preserve"> </v>
          </cell>
          <cell r="AE450" t="str">
            <v>亜地政</v>
          </cell>
          <cell r="AF450" t="str">
            <v>会計課調達室／サービス調達第２班</v>
          </cell>
          <cell r="AG450" t="str">
            <v>荒井</v>
          </cell>
        </row>
        <row r="451">
          <cell r="A451" t="str">
            <v>民452</v>
          </cell>
          <cell r="B451">
            <v>758</v>
          </cell>
          <cell r="C451" t="str">
            <v>ﾍﾞﾘﾝｸﾞ</v>
          </cell>
          <cell r="E451">
            <v>452</v>
          </cell>
          <cell r="F451" t="str">
            <v>べリングポイント株式会社</v>
          </cell>
          <cell r="G451" t="str">
            <v>東京都千代田区丸ノ内１－１１－１</v>
          </cell>
          <cell r="H451" t="str">
            <v>「ホストコンピュータシステム業務・システム最適化計画策定」等コンサルティング業務</v>
          </cell>
          <cell r="I451" t="str">
            <v>外務省大臣官房会計課長　上月豊久　東京都千代田区霞が関２－２－１</v>
          </cell>
          <cell r="J451">
            <v>38609</v>
          </cell>
          <cell r="K451">
            <v>38850000</v>
          </cell>
          <cell r="L451" t="str">
            <v>公示の上、資料提供企画招請を行い、提出された企画書審査等を通じ企画内容・見積額等により判断し、同社が最も高い評価を得て確実な業務の履行が可能であると認められたもの（会計法第２９条の３第４項、特定政令に該当）</v>
          </cell>
          <cell r="M451" t="str">
            <v>見直しの余地があるもの</v>
          </cell>
          <cell r="N451" t="str">
            <v>競争入札、企画招請もしくは公募に移行を検討（１８年度から）</v>
          </cell>
          <cell r="P451" t="str">
            <v>民○</v>
          </cell>
          <cell r="Q451" t="str">
            <v>民</v>
          </cell>
          <cell r="R451" t="str">
            <v>○</v>
          </cell>
          <cell r="S451" t="str">
            <v>民18②</v>
          </cell>
          <cell r="U451" t="str">
            <v>民</v>
          </cell>
          <cell r="W451" t="str">
            <v>①②</v>
          </cell>
          <cell r="AA451">
            <v>1701041</v>
          </cell>
          <cell r="AB451">
            <v>1</v>
          </cell>
          <cell r="AC451" t="str">
            <v>17M218</v>
          </cell>
          <cell r="AD451" t="str">
            <v>取扱注意</v>
          </cell>
          <cell r="AE451" t="str">
            <v>官情</v>
          </cell>
          <cell r="AF451" t="str">
            <v>会計課調達室／サービス調達第３班</v>
          </cell>
          <cell r="AG451" t="str">
            <v>西村</v>
          </cell>
        </row>
        <row r="452">
          <cell r="A452" t="str">
            <v>民453</v>
          </cell>
          <cell r="B452">
            <v>759</v>
          </cell>
          <cell r="C452" t="str">
            <v>ｻﾞｲｶﾝﾆﾎﾝｶｲ</v>
          </cell>
          <cell r="E452">
            <v>453</v>
          </cell>
          <cell r="F452" t="str">
            <v>財団法人環日本海経済研究所</v>
          </cell>
          <cell r="G452" t="str">
            <v>新潟県新潟市万代島５－１</v>
          </cell>
          <cell r="H452" t="str">
            <v>「北朝鮮の経済状況に関する調査・分析」業務委嘱</v>
          </cell>
          <cell r="I452" t="str">
            <v>外務省大臣官房会計課長　上月豊久　東京都千代田区霞が関２－２－１</v>
          </cell>
          <cell r="J452">
            <v>38610</v>
          </cell>
          <cell r="K452">
            <v>2988134</v>
          </cell>
          <cell r="L452"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52" t="str">
            <v>見直しの余地があるもの</v>
          </cell>
          <cell r="N452" t="str">
            <v>１８年度以降において当該事務・事業の委託等を行う予定のないもの</v>
          </cell>
          <cell r="P452" t="str">
            <v>民○</v>
          </cell>
          <cell r="Q452" t="str">
            <v>民</v>
          </cell>
          <cell r="R452" t="str">
            <v>○</v>
          </cell>
          <cell r="S452" t="str">
            <v>民18×</v>
          </cell>
          <cell r="U452" t="str">
            <v>民</v>
          </cell>
          <cell r="W452" t="str">
            <v>×</v>
          </cell>
          <cell r="AA452">
            <v>1701089</v>
          </cell>
          <cell r="AB452">
            <v>5</v>
          </cell>
          <cell r="AC452" t="str">
            <v>17G673</v>
          </cell>
          <cell r="AD452" t="str">
            <v xml:space="preserve"> </v>
          </cell>
          <cell r="AE452" t="str">
            <v>情報１</v>
          </cell>
          <cell r="AF452" t="str">
            <v>会計課調達室／サービス調達第１班</v>
          </cell>
          <cell r="AG452" t="str">
            <v>村松</v>
          </cell>
        </row>
        <row r="453">
          <cell r="A453" t="str">
            <v>民454</v>
          </cell>
          <cell r="B453">
            <v>760</v>
          </cell>
          <cell r="C453" t="str">
            <v>ｶﾌﾞｺｰｴｲ</v>
          </cell>
          <cell r="E453">
            <v>454</v>
          </cell>
          <cell r="F453" t="str">
            <v>株式会社コーエイ総合研究所</v>
          </cell>
          <cell r="G453" t="str">
            <v>東京都千代田区麹町４－２</v>
          </cell>
          <cell r="H453" t="str">
            <v>ＯＤＡ評価「バングラデシュ・インフラ分野における被援助国との合同評価」業務委嘱</v>
          </cell>
          <cell r="I453" t="str">
            <v>外務省大臣官房会計課長　上月豊久　東京都千代田区霞が関２－２－１</v>
          </cell>
          <cell r="J453">
            <v>38611</v>
          </cell>
          <cell r="K453">
            <v>16953300</v>
          </cell>
          <cell r="L453"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53" t="str">
            <v>見直しの余地があるもの</v>
          </cell>
          <cell r="N453" t="str">
            <v>企画招請を実施（１８年度以降も引き続き実施）</v>
          </cell>
          <cell r="P453" t="str">
            <v>民○</v>
          </cell>
          <cell r="Q453" t="str">
            <v>民</v>
          </cell>
          <cell r="R453" t="str">
            <v>○</v>
          </cell>
          <cell r="S453" t="str">
            <v>民18②</v>
          </cell>
          <cell r="U453" t="str">
            <v>民</v>
          </cell>
          <cell r="W453" t="str">
            <v>②</v>
          </cell>
          <cell r="AA453">
            <v>1701056</v>
          </cell>
          <cell r="AB453">
            <v>1</v>
          </cell>
          <cell r="AC453" t="str">
            <v>17G702</v>
          </cell>
          <cell r="AD453" t="str">
            <v>取扱注意</v>
          </cell>
          <cell r="AE453" t="str">
            <v>経協計</v>
          </cell>
          <cell r="AF453" t="str">
            <v>会計課調達室／サービス調達第１班</v>
          </cell>
          <cell r="AG453" t="str">
            <v>村松</v>
          </cell>
        </row>
        <row r="454">
          <cell r="A454" t="str">
            <v>民455</v>
          </cell>
          <cell r="B454">
            <v>761</v>
          </cell>
          <cell r="C454" t="str">
            <v>ｶﾌﾞﾃﾚﾊﾟｯｸ</v>
          </cell>
          <cell r="E454">
            <v>455</v>
          </cell>
          <cell r="F454" t="str">
            <v>株式会社テレパック</v>
          </cell>
          <cell r="G454" t="str">
            <v>東京都港区赤坂２－１２－１０</v>
          </cell>
          <cell r="H454" t="str">
            <v>外務省広報テレビ番組の制作・放映</v>
          </cell>
          <cell r="I454" t="str">
            <v xml:space="preserve">
外務省大臣官房会計課長　上月豊久
東京都千代田区霞が関２－２－１</v>
          </cell>
          <cell r="J454">
            <v>38615</v>
          </cell>
          <cell r="K454">
            <v>11815650</v>
          </cell>
          <cell r="L45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54" t="str">
            <v>見直しの余地があるもの</v>
          </cell>
          <cell r="N454" t="str">
            <v>１８年度以降において当該事務・事業の委託等を行う予定のないもの</v>
          </cell>
          <cell r="P454" t="str">
            <v>民○</v>
          </cell>
          <cell r="Q454" t="str">
            <v>民</v>
          </cell>
          <cell r="R454" t="str">
            <v>○</v>
          </cell>
          <cell r="S454" t="str">
            <v>民18×</v>
          </cell>
          <cell r="U454" t="str">
            <v>民</v>
          </cell>
          <cell r="W454" t="str">
            <v>×</v>
          </cell>
          <cell r="AA454">
            <v>1701104</v>
          </cell>
          <cell r="AB454">
            <v>1</v>
          </cell>
          <cell r="AC454" t="str">
            <v>17X285</v>
          </cell>
          <cell r="AD454" t="str">
            <v>無指定</v>
          </cell>
          <cell r="AE454" t="str">
            <v>報内</v>
          </cell>
          <cell r="AF454" t="str">
            <v>会計課調達室／サービス調達第１班</v>
          </cell>
          <cell r="AG454" t="str">
            <v>村松</v>
          </cell>
        </row>
        <row r="455">
          <cell r="A455" t="str">
            <v>民456</v>
          </cell>
          <cell r="B455">
            <v>762</v>
          </cell>
          <cell r="C455" t="str">
            <v>ｴﾇﾃｨﾃｨｺﾐｭﾆｹ</v>
          </cell>
          <cell r="E455">
            <v>456</v>
          </cell>
          <cell r="F455" t="str">
            <v>エヌ・ティ・ティ・コミュニケーションズ株式会社　</v>
          </cell>
          <cell r="G455" t="str">
            <v>東京都千代田区内幸町１－１－６</v>
          </cell>
          <cell r="H455" t="str">
            <v>旅券申請システム追加設備　一式（※平成１７年度新規４県分）</v>
          </cell>
          <cell r="I455" t="str">
            <v xml:space="preserve">
外務省大臣官房会計課長　上月豊久
東京都千代田区霞が関２－２－１</v>
          </cell>
          <cell r="J455">
            <v>38616</v>
          </cell>
          <cell r="K455">
            <v>147420000</v>
          </cell>
          <cell r="L455" t="str">
            <v>平成１５年度に一般競争入札（賃貸期間平成２１年２月２８日まで。但し契約自体は単年度）で導入した本件システムの継続契約（会計法第２９条の３第４項、特定政令に該当）。</v>
          </cell>
          <cell r="M455" t="str">
            <v>見直しの余地があるもの</v>
          </cell>
          <cell r="N455" t="str">
            <v>１８年度以降において当該事務・事業の委託等を行う予定のないもの</v>
          </cell>
          <cell r="O455" t="str">
            <v>全4件</v>
          </cell>
          <cell r="P455" t="str">
            <v>民×</v>
          </cell>
          <cell r="Q455" t="str">
            <v>民</v>
          </cell>
          <cell r="S455" t="str">
            <v>民18×</v>
          </cell>
          <cell r="U455" t="str">
            <v>民</v>
          </cell>
          <cell r="W455" t="str">
            <v>×</v>
          </cell>
          <cell r="AA455">
            <v>1701070</v>
          </cell>
          <cell r="AB455">
            <v>1</v>
          </cell>
          <cell r="AC455" t="str">
            <v>17M299</v>
          </cell>
          <cell r="AD455" t="str">
            <v xml:space="preserve"> </v>
          </cell>
          <cell r="AE455" t="str">
            <v>領旅</v>
          </cell>
          <cell r="AF455" t="str">
            <v>会計課調達室／サービス調達第３班</v>
          </cell>
          <cell r="AG455" t="str">
            <v>川上</v>
          </cell>
        </row>
        <row r="456">
          <cell r="A456" t="str">
            <v>民457</v>
          </cell>
          <cell r="B456">
            <v>763</v>
          </cell>
          <cell r="C456" t="str">
            <v>ﾆﾎﾝﾃﾞﾝｷｼｽﾃﾑｹﾝｾﾂ</v>
          </cell>
          <cell r="E456">
            <v>457</v>
          </cell>
          <cell r="F456" t="str">
            <v>日本電気システム建設株式会社</v>
          </cell>
          <cell r="G456" t="str">
            <v>東京都品川区東品川１－３９－９</v>
          </cell>
          <cell r="H456" t="str">
            <v>「ＩＰ電話交換機・省内内線電話交換機」接続工事</v>
          </cell>
          <cell r="I456" t="str">
            <v>外務省大臣官房会計課長　上月豊久　東京都千代田区霞が関２－２－１</v>
          </cell>
          <cell r="J456">
            <v>38622</v>
          </cell>
          <cell r="K456">
            <v>2571450</v>
          </cell>
          <cell r="L456"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456" t="str">
            <v>見直しの余地があるもの</v>
          </cell>
          <cell r="N456" t="str">
            <v>１８年度以降において当該事務・事業の委託等を行う予定はない</v>
          </cell>
          <cell r="P456" t="str">
            <v>民×</v>
          </cell>
          <cell r="Q456" t="str">
            <v>民</v>
          </cell>
          <cell r="S456" t="str">
            <v>民18×</v>
          </cell>
          <cell r="U456" t="str">
            <v>民</v>
          </cell>
          <cell r="W456" t="str">
            <v>×</v>
          </cell>
          <cell r="AA456">
            <v>1701090</v>
          </cell>
          <cell r="AB456">
            <v>1</v>
          </cell>
          <cell r="AC456" t="str">
            <v>17Z454</v>
          </cell>
          <cell r="AD456" t="str">
            <v>無指定</v>
          </cell>
          <cell r="AE456" t="str">
            <v>信</v>
          </cell>
          <cell r="AF456" t="str">
            <v>会計課調達室／サービス調達第３班</v>
          </cell>
          <cell r="AG456" t="str">
            <v>川上</v>
          </cell>
        </row>
        <row r="457">
          <cell r="A457" t="str">
            <v>民458</v>
          </cell>
          <cell r="B457">
            <v>764</v>
          </cell>
          <cell r="C457" t="str">
            <v>ｶﾌﾞﾌｼﾞﾂｳ</v>
          </cell>
          <cell r="E457">
            <v>458</v>
          </cell>
          <cell r="F457" t="str">
            <v>株式会社富士通ビジネスシステム／
センチュリー・リーシング・システム株式会社</v>
          </cell>
          <cell r="G457" t="str">
            <v>東京都文京区後楽１－７－２７／
東京都港区浜松町２－４－１</v>
          </cell>
          <cell r="H457" t="str">
            <v>平成１２年度調達（在外経理システム）機器一式の賃貸借</v>
          </cell>
          <cell r="I457" t="str">
            <v xml:space="preserve">
外務省大臣官房会計課長　上月豊久
東京都千代田区霞が関２－２－１</v>
          </cell>
          <cell r="J457">
            <v>38625</v>
          </cell>
          <cell r="K457">
            <v>7198206</v>
          </cell>
          <cell r="L457" t="str">
            <v>平成１２年度に一般競争入札で導入した本件システム賃貸借契約の契約期間終了後、後継システム開発までの間契約期間を延長するもの（会計法第２９条の３第４項、特定政令に該当）。</v>
          </cell>
          <cell r="M457" t="str">
            <v>見直しの余地があるもの</v>
          </cell>
          <cell r="N457" t="str">
            <v>競争入札へ移行（平成１９年度。国庫債務負担行為適用予定）</v>
          </cell>
          <cell r="O457" t="str">
            <v>H19～：国庫債務負担公有為</v>
          </cell>
          <cell r="P457" t="str">
            <v>民×</v>
          </cell>
          <cell r="Q457" t="str">
            <v>民</v>
          </cell>
          <cell r="S457" t="str">
            <v>民19①</v>
          </cell>
          <cell r="U457" t="str">
            <v>民</v>
          </cell>
          <cell r="X457" t="str">
            <v>①</v>
          </cell>
          <cell r="AA457">
            <v>1700976</v>
          </cell>
          <cell r="AB457">
            <v>1</v>
          </cell>
          <cell r="AC457" t="str">
            <v>17M285</v>
          </cell>
          <cell r="AD457" t="str">
            <v>無指定</v>
          </cell>
          <cell r="AE457" t="str">
            <v>官情</v>
          </cell>
          <cell r="AF457" t="str">
            <v>会計課調達室／サービス調達第３班</v>
          </cell>
          <cell r="AG457" t="str">
            <v>川上</v>
          </cell>
        </row>
        <row r="458">
          <cell r="A458" t="str">
            <v>民459</v>
          </cell>
          <cell r="B458">
            <v>765</v>
          </cell>
          <cell r="C458" t="str">
            <v>ﾄｳｷｮｳﾘｰｽ</v>
          </cell>
          <cell r="E458">
            <v>459</v>
          </cell>
          <cell r="F458" t="str">
            <v>東京リース株式会社／
株式会社ラデックス</v>
          </cell>
          <cell r="G458" t="str">
            <v>東京都西新宿６－１０－１／
東京都台東区浅草橋５－２０－８</v>
          </cell>
          <cell r="H458" t="str">
            <v>「外電検索システム」の契約相手先の変更に伴う契約</v>
          </cell>
          <cell r="I458" t="str">
            <v xml:space="preserve">
外務省大臣官房会計課長　上月豊久
東京都千代田区霞が関２－２－１</v>
          </cell>
          <cell r="J458">
            <v>38625</v>
          </cell>
          <cell r="K458">
            <v>6373584</v>
          </cell>
          <cell r="L458" t="str">
            <v>リース会社変更に伴う変更契約（会計法第２９条の３第４項、特例政令に該当）。</v>
          </cell>
          <cell r="M458" t="str">
            <v>見直しの余地があるもの</v>
          </cell>
          <cell r="N458" t="str">
            <v>競争入札もしくは企画招請への移行を検討（システムの入替時(２２年度以降）に移行を検討）</v>
          </cell>
          <cell r="P458" t="str">
            <v>民×</v>
          </cell>
          <cell r="Q458" t="str">
            <v>民</v>
          </cell>
          <cell r="S458" t="str">
            <v>民20②</v>
          </cell>
          <cell r="U458" t="str">
            <v>民</v>
          </cell>
          <cell r="Y458" t="str">
            <v>①②</v>
          </cell>
          <cell r="AA458">
            <v>1700992</v>
          </cell>
          <cell r="AB458">
            <v>1</v>
          </cell>
          <cell r="AC458" t="str">
            <v>17W406</v>
          </cell>
          <cell r="AD458" t="str">
            <v>無指定</v>
          </cell>
          <cell r="AE458" t="str">
            <v>報際</v>
          </cell>
          <cell r="AF458" t="str">
            <v>会計課調達室／サービス調達第３班</v>
          </cell>
          <cell r="AG458" t="str">
            <v>川上</v>
          </cell>
          <cell r="AI458" t="str">
            <v>（H21.1.26調査回答）
当初の契約において、複数年度にわたる契約としているため、契約終了までは移行は困難である。新たに契約する際には、競争入札への移行を検討する。</v>
          </cell>
          <cell r="AJ458" t="str">
            <v>（H21.1.26調査回答）
平成２２年度より</v>
          </cell>
        </row>
        <row r="459">
          <cell r="A459" t="str">
            <v>民460</v>
          </cell>
          <cell r="B459">
            <v>766</v>
          </cell>
          <cell r="C459" t="str">
            <v>ｶﾌﾞﾌﾞﾝｶｺｳﾎﾞｳ</v>
          </cell>
          <cell r="E459">
            <v>460</v>
          </cell>
          <cell r="F459" t="str">
            <v>株式会社文化工房</v>
          </cell>
          <cell r="G459" t="str">
            <v>東京都港区六本木５－１０－３１</v>
          </cell>
          <cell r="H459" t="str">
            <v>「ＡＰＥＣ（仮）」パンフレットの作成</v>
          </cell>
          <cell r="I459" t="str">
            <v xml:space="preserve">
外務省大臣官房会計課長　上月豊久
東京都千代田区霞が関２－２－１</v>
          </cell>
          <cell r="J459">
            <v>38625</v>
          </cell>
          <cell r="K459">
            <v>1504125</v>
          </cell>
          <cell r="L45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59" t="str">
            <v>見直しの余地があるもの</v>
          </cell>
          <cell r="N459" t="str">
            <v>１８年度以降において当該事務・事業の委託等を行う予定のないもの</v>
          </cell>
          <cell r="P459" t="str">
            <v>民○</v>
          </cell>
          <cell r="Q459" t="str">
            <v>民</v>
          </cell>
          <cell r="R459" t="str">
            <v>○</v>
          </cell>
          <cell r="S459" t="str">
            <v>民18×</v>
          </cell>
          <cell r="U459" t="str">
            <v>民</v>
          </cell>
          <cell r="W459" t="str">
            <v>×</v>
          </cell>
          <cell r="AA459">
            <v>1701101</v>
          </cell>
          <cell r="AB459">
            <v>1</v>
          </cell>
          <cell r="AC459" t="str">
            <v>17X235</v>
          </cell>
          <cell r="AD459" t="str">
            <v>無指定</v>
          </cell>
          <cell r="AE459" t="str">
            <v>報内</v>
          </cell>
          <cell r="AF459" t="str">
            <v>会計課調達室／サービス調達第１班</v>
          </cell>
          <cell r="AG459" t="str">
            <v>村松</v>
          </cell>
        </row>
        <row r="460">
          <cell r="A460" t="str">
            <v>民461</v>
          </cell>
          <cell r="B460">
            <v>767</v>
          </cell>
          <cell r="C460" t="str">
            <v>ｶﾌﾞｲﾝﾀｰ</v>
          </cell>
          <cell r="E460">
            <v>461</v>
          </cell>
          <cell r="F460" t="str">
            <v>株式会社インターグループ</v>
          </cell>
          <cell r="G460" t="str">
            <v>東京都港区西新橋１－７－２</v>
          </cell>
          <cell r="H460" t="str">
            <v>英語通訳研修</v>
          </cell>
          <cell r="I460" t="str">
            <v xml:space="preserve">
外務省大臣官房会計課長　上月豊久
東京都千代田区霞が関２－２－１</v>
          </cell>
          <cell r="J460">
            <v>38632</v>
          </cell>
          <cell r="K460">
            <v>1838000</v>
          </cell>
          <cell r="L460" t="str">
            <v>平成１７年春に行った研修受講者に継続して研修を受講させるものであり、各受講者の計画的かつ継続的な能力向上を図るためには同社との契約が不可欠である（会計法第２９条の３第４項）。</v>
          </cell>
          <cell r="M460" t="str">
            <v>見直しの余地があるもの</v>
          </cell>
          <cell r="N460" t="str">
            <v>企画招請または競争入札への移行を検討(平成１９年１０月分より)</v>
          </cell>
          <cell r="P460" t="str">
            <v>民×</v>
          </cell>
          <cell r="Q460" t="str">
            <v>民</v>
          </cell>
          <cell r="S460" t="str">
            <v>民19②</v>
          </cell>
          <cell r="U460" t="str">
            <v>民</v>
          </cell>
          <cell r="X460" t="str">
            <v>①②</v>
          </cell>
          <cell r="AA460">
            <v>1701260</v>
          </cell>
          <cell r="AB460">
            <v>1</v>
          </cell>
          <cell r="AC460" t="str">
            <v>17G781</v>
          </cell>
          <cell r="AD460" t="str">
            <v>無指定</v>
          </cell>
          <cell r="AE460" t="str">
            <v>人</v>
          </cell>
          <cell r="AF460" t="str">
            <v>会計課調達室／サービス調達第１班</v>
          </cell>
          <cell r="AG460" t="str">
            <v>竹澤</v>
          </cell>
        </row>
        <row r="461">
          <cell r="A461" t="str">
            <v>民462</v>
          </cell>
          <cell r="B461">
            <v>768</v>
          </cell>
          <cell r="C461" t="str">
            <v>ｷﾝｷﾆﾎﾝﾂｰﾘｽﾄ</v>
          </cell>
          <cell r="E461">
            <v>462</v>
          </cell>
          <cell r="F461" t="str">
            <v>近畿日本ツーリスト株式会社</v>
          </cell>
          <cell r="G461" t="str">
            <v>東京都港区虎ノ門１－１－２１</v>
          </cell>
          <cell r="H461" t="str">
            <v>「世界環境会議『気候変動と持続可能な開発』出席者等招聘」契約</v>
          </cell>
          <cell r="I461" t="str">
            <v>外務省大臣官房会計課長　上月豊久　東京都千代田区霞が関２－２－１</v>
          </cell>
          <cell r="J461">
            <v>38637</v>
          </cell>
          <cell r="K461">
            <v>10284695</v>
          </cell>
          <cell r="L461" t="str">
            <v>本件会議は当省を含む関係省庁と地球行動会議(GEA)が共催するものであり、ロジ面の調整を中心となって行っているGEAにより本件契約先は会議運営の委嘱先として選定されていることから、本件も合わせ委嘱することが必要である（会計法第２９条の３第４項）。</v>
          </cell>
          <cell r="M461" t="str">
            <v>見直しの余地があるもの</v>
          </cell>
          <cell r="N461" t="str">
            <v>１８年度において当該事務・事業の委託等を行う予定のないもの</v>
          </cell>
          <cell r="P461" t="str">
            <v>民×</v>
          </cell>
          <cell r="Q461" t="str">
            <v>民</v>
          </cell>
          <cell r="S461" t="str">
            <v>民18×</v>
          </cell>
          <cell r="U461" t="str">
            <v>民</v>
          </cell>
          <cell r="W461" t="str">
            <v>×</v>
          </cell>
          <cell r="AA461">
            <v>1701232</v>
          </cell>
          <cell r="AB461">
            <v>1</v>
          </cell>
          <cell r="AC461" t="str">
            <v>17F152</v>
          </cell>
          <cell r="AD461" t="str">
            <v xml:space="preserve"> </v>
          </cell>
          <cell r="AE461" t="str">
            <v>国環</v>
          </cell>
          <cell r="AF461" t="str">
            <v>会計課調達室／サービス調達第２班</v>
          </cell>
          <cell r="AG461" t="str">
            <v>荒井</v>
          </cell>
        </row>
        <row r="462">
          <cell r="A462" t="str">
            <v>民463</v>
          </cell>
          <cell r="B462">
            <v>769</v>
          </cell>
          <cell r="C462" t="str">
            <v>ｻﾞｲｴｲｴﾌｴﾌ</v>
          </cell>
          <cell r="E462">
            <v>463</v>
          </cell>
          <cell r="F462" t="str">
            <v>財団法人エイ・エフ・エス日本協会</v>
          </cell>
          <cell r="G462" t="str">
            <v>東京都渋谷区千駄ケ谷５－１６－１６</v>
          </cell>
          <cell r="H462" t="str">
            <v>「日・ＡＳＥＡＮ高校生交流長期プログラム」実施事業委嘱</v>
          </cell>
          <cell r="I462" t="str">
            <v>外務省大臣官房会計課長　上月豊久　東京都千代田区霞が関２－２－１</v>
          </cell>
          <cell r="J462">
            <v>38638</v>
          </cell>
          <cell r="K462">
            <v>11956000</v>
          </cell>
          <cell r="L462" t="str">
            <v>ＡＳＥＡＮ各国を対象として高校生留学事業を行っており現地に事務所を有するなどの実施体制が確立しているのは同団体のみであり、他に競争を許さない（会計法第２９条の３第４項）。</v>
          </cell>
          <cell r="M462" t="str">
            <v>見直しの余地があるもの</v>
          </cell>
          <cell r="N462" t="str">
            <v>企画招請への移行を検討(平成１８年度予定)</v>
          </cell>
          <cell r="P462" t="str">
            <v>民×</v>
          </cell>
          <cell r="Q462" t="str">
            <v>民</v>
          </cell>
          <cell r="S462" t="str">
            <v>民18②</v>
          </cell>
          <cell r="U462" t="str">
            <v>民</v>
          </cell>
          <cell r="W462" t="str">
            <v>②</v>
          </cell>
          <cell r="AA462">
            <v>1701231</v>
          </cell>
          <cell r="AB462">
            <v>1</v>
          </cell>
          <cell r="AC462" t="str">
            <v>17G796</v>
          </cell>
          <cell r="AD462" t="str">
            <v xml:space="preserve"> </v>
          </cell>
          <cell r="AE462" t="str">
            <v>亜地政</v>
          </cell>
          <cell r="AF462" t="str">
            <v>会計課調達室／サービス調達第２班</v>
          </cell>
          <cell r="AG462" t="str">
            <v>荒井</v>
          </cell>
        </row>
        <row r="463">
          <cell r="A463" t="str">
            <v>民464</v>
          </cell>
          <cell r="B463">
            <v>770</v>
          </cell>
          <cell r="C463" t="str">
            <v>ﾎｯｶｲﾄﾞｳﾀﾞｲｶﾞｸ</v>
          </cell>
          <cell r="E463">
            <v>464</v>
          </cell>
          <cell r="F463" t="str">
            <v>北海道大学大学院国際広報メディア科日中コミュニケーション研究会</v>
          </cell>
          <cell r="G463" t="str">
            <v>東京都港区赤坂２－１７－１２</v>
          </cell>
          <cell r="H463" t="str">
            <v>日中知的交流支援事業「振興メディアと対日イメージ形成共同研究」シンポジウム開催業務委嘱</v>
          </cell>
          <cell r="I463" t="str">
            <v>外務省大臣官房会計課長　上月豊久　東京都千代田区霞が関２－２－１</v>
          </cell>
          <cell r="J463">
            <v>38638</v>
          </cell>
          <cell r="K463">
            <v>3066900</v>
          </cell>
          <cell r="L463"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63" t="str">
            <v>見直しの余地があるもの</v>
          </cell>
          <cell r="N463" t="str">
            <v>企画招請を実施（１８年度以降も引き続き実施）</v>
          </cell>
          <cell r="P463" t="str">
            <v>民○</v>
          </cell>
          <cell r="Q463" t="str">
            <v>民</v>
          </cell>
          <cell r="R463" t="str">
            <v>○</v>
          </cell>
          <cell r="S463" t="str">
            <v>民18②</v>
          </cell>
          <cell r="U463" t="str">
            <v>民</v>
          </cell>
          <cell r="W463" t="str">
            <v>②</v>
          </cell>
          <cell r="AA463">
            <v>1701230</v>
          </cell>
          <cell r="AB463">
            <v>1</v>
          </cell>
          <cell r="AC463" t="str">
            <v>17G789</v>
          </cell>
          <cell r="AD463" t="str">
            <v xml:space="preserve"> </v>
          </cell>
          <cell r="AE463" t="str">
            <v>亜中</v>
          </cell>
          <cell r="AF463" t="str">
            <v>会計課調達室／サービス調達第２班</v>
          </cell>
          <cell r="AG463" t="str">
            <v>荒井</v>
          </cell>
        </row>
        <row r="464">
          <cell r="A464" t="str">
            <v>民465</v>
          </cell>
          <cell r="B464">
            <v>771</v>
          </cell>
          <cell r="C464" t="str">
            <v>ﾘﾂﾒｲｶﾝ</v>
          </cell>
          <cell r="E464">
            <v>465</v>
          </cell>
          <cell r="F464" t="str">
            <v>立命館大学衣笠総合研究機構</v>
          </cell>
          <cell r="G464" t="str">
            <v>京都市北区等持院北町５６－１</v>
          </cell>
          <cell r="H464" t="str">
            <v>日中知的交流支援事業「中国東北振興戦略と日中間地域協力の新たな可能性について」シンポジウム開催業務委嘱</v>
          </cell>
          <cell r="I464" t="str">
            <v>外務省大臣官房会計課長　上月豊久　東京都千代田区霞が関２－２－１</v>
          </cell>
          <cell r="J464">
            <v>38638</v>
          </cell>
          <cell r="K464">
            <v>2666878</v>
          </cell>
          <cell r="L46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64" t="str">
            <v>見直しの余地があるもの</v>
          </cell>
          <cell r="N464" t="str">
            <v>企画招請を実施（１８年度以降も引き続き実施）</v>
          </cell>
          <cell r="P464" t="str">
            <v>民○</v>
          </cell>
          <cell r="Q464" t="str">
            <v>民</v>
          </cell>
          <cell r="R464" t="str">
            <v>○</v>
          </cell>
          <cell r="S464" t="str">
            <v>民18②</v>
          </cell>
          <cell r="U464" t="str">
            <v>民</v>
          </cell>
          <cell r="W464" t="str">
            <v>②</v>
          </cell>
          <cell r="AA464">
            <v>1701229</v>
          </cell>
          <cell r="AB464">
            <v>1</v>
          </cell>
          <cell r="AC464" t="str">
            <v>17G787</v>
          </cell>
          <cell r="AD464" t="str">
            <v xml:space="preserve"> </v>
          </cell>
          <cell r="AE464" t="str">
            <v>亜中</v>
          </cell>
          <cell r="AF464" t="str">
            <v>会計課調達室／サービス調達第２班</v>
          </cell>
          <cell r="AG464" t="str">
            <v>荒井</v>
          </cell>
        </row>
        <row r="465">
          <cell r="A465" t="str">
            <v>民466</v>
          </cell>
          <cell r="B465">
            <v>772</v>
          </cell>
          <cell r="C465" t="str">
            <v>ﾄｸﾃｲﾋｴｲﾘﾆﾎﾝﾌﾝｿｳ</v>
          </cell>
          <cell r="E465">
            <v>466</v>
          </cell>
          <cell r="F465" t="str">
            <v>特定非営利活動法人日本紛争予防センター</v>
          </cell>
          <cell r="G465" t="str">
            <v>東京都港区六本木５－１０－２０</v>
          </cell>
          <cell r="H465" t="str">
            <v>「ＮＧＯ活動における危機管理セミナー実施」業務委嘱</v>
          </cell>
          <cell r="I465" t="str">
            <v>外務省大臣官房会計課長　上月豊久　東京都千代田区霞が関２－２－１</v>
          </cell>
          <cell r="J465">
            <v>38638</v>
          </cell>
          <cell r="K465">
            <v>6101287</v>
          </cell>
          <cell r="L465"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65" t="str">
            <v>見直しの余地があるもの</v>
          </cell>
          <cell r="N465" t="str">
            <v>企画招請を実施（１８年度以降も引き続き実施）</v>
          </cell>
          <cell r="P465" t="str">
            <v>民○</v>
          </cell>
          <cell r="Q465" t="str">
            <v>民</v>
          </cell>
          <cell r="R465" t="str">
            <v>○</v>
          </cell>
          <cell r="S465" t="str">
            <v>民18②</v>
          </cell>
          <cell r="U465" t="str">
            <v>民</v>
          </cell>
          <cell r="W465" t="str">
            <v>②</v>
          </cell>
          <cell r="AA465">
            <v>1701143</v>
          </cell>
          <cell r="AB465">
            <v>1</v>
          </cell>
          <cell r="AC465" t="str">
            <v>17G792</v>
          </cell>
          <cell r="AD465" t="str">
            <v>無指定</v>
          </cell>
          <cell r="AE465" t="str">
            <v>経協民</v>
          </cell>
          <cell r="AF465" t="str">
            <v>会計課調達室／サービス調達第１班</v>
          </cell>
          <cell r="AG465" t="str">
            <v>竹澤</v>
          </cell>
        </row>
        <row r="466">
          <cell r="A466" t="str">
            <v>民467</v>
          </cell>
          <cell r="B466">
            <v>773</v>
          </cell>
          <cell r="C466" t="str">
            <v>ｻﾞｲﾆﾎﾝｴﾈ</v>
          </cell>
          <cell r="E466">
            <v>467</v>
          </cell>
          <cell r="F466" t="str">
            <v>財団法人日本エネルギー経済研究所</v>
          </cell>
          <cell r="G466" t="str">
            <v>東京都中央区勝どき１－１３－１</v>
          </cell>
          <cell r="H466" t="str">
            <v>「イラク情勢調査・分析」業務委嘱</v>
          </cell>
          <cell r="I466" t="str">
            <v>外務省大臣官房会計課長　上月豊久　東京都千代田区霞が関２－２－１</v>
          </cell>
          <cell r="J466">
            <v>38638</v>
          </cell>
          <cell r="K466">
            <v>3231648</v>
          </cell>
          <cell r="L466"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66" t="str">
            <v>見直しの余地があるもの</v>
          </cell>
          <cell r="N466" t="str">
            <v>企画招請を実施（１８年度以降）</v>
          </cell>
          <cell r="P466" t="str">
            <v>民○</v>
          </cell>
          <cell r="Q466" t="str">
            <v>民</v>
          </cell>
          <cell r="R466" t="str">
            <v>○</v>
          </cell>
          <cell r="S466" t="str">
            <v>民18②</v>
          </cell>
          <cell r="U466" t="str">
            <v>民</v>
          </cell>
          <cell r="W466" t="str">
            <v>②</v>
          </cell>
          <cell r="AA466">
            <v>1701123</v>
          </cell>
          <cell r="AB466">
            <v>1</v>
          </cell>
          <cell r="AC466" t="str">
            <v>17G515</v>
          </cell>
          <cell r="AD466" t="str">
            <v>無指定</v>
          </cell>
          <cell r="AE466" t="str">
            <v>情報４</v>
          </cell>
          <cell r="AF466" t="str">
            <v>会計課調達室／サービス調達第１班</v>
          </cell>
          <cell r="AG466" t="str">
            <v>村松</v>
          </cell>
        </row>
        <row r="467">
          <cell r="A467" t="str">
            <v>民468</v>
          </cell>
          <cell r="B467">
            <v>774</v>
          </cell>
          <cell r="C467" t="str">
            <v>ｶﾌﾞﾄｳｼﾊﾞ</v>
          </cell>
          <cell r="E467">
            <v>468</v>
          </cell>
          <cell r="F467" t="str">
            <v>株式会社東芝</v>
          </cell>
          <cell r="G467" t="str">
            <v>東京都港区芝浦１－１－１</v>
          </cell>
          <cell r="H467" t="str">
            <v>非ＭＰＲ旅券保有者通知システム開発業務委嘱</v>
          </cell>
          <cell r="I467" t="str">
            <v xml:space="preserve">
外務省大臣官房会計課長　上月豊久
東京都千代田区霞が関２－２－１</v>
          </cell>
          <cell r="J467">
            <v>38638</v>
          </cell>
          <cell r="K467">
            <v>1886850</v>
          </cell>
          <cell r="L467"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467" t="str">
            <v>見直しの余地があるもの</v>
          </cell>
          <cell r="N467" t="str">
            <v>１８年度以降において当該事務・事業の委託等を行う予定のないもの</v>
          </cell>
          <cell r="P467" t="str">
            <v>民×</v>
          </cell>
          <cell r="Q467" t="str">
            <v>民</v>
          </cell>
          <cell r="S467" t="str">
            <v>民18×</v>
          </cell>
          <cell r="U467" t="str">
            <v>民</v>
          </cell>
          <cell r="W467" t="str">
            <v>×</v>
          </cell>
          <cell r="AA467">
            <v>1701128</v>
          </cell>
          <cell r="AB467">
            <v>1</v>
          </cell>
          <cell r="AC467" t="str">
            <v>17M333</v>
          </cell>
          <cell r="AD467" t="str">
            <v>無指定</v>
          </cell>
          <cell r="AE467" t="str">
            <v>領旅</v>
          </cell>
          <cell r="AF467" t="str">
            <v>会計課調達室／サービス調達第３班</v>
          </cell>
          <cell r="AG467" t="str">
            <v>川畑</v>
          </cell>
        </row>
        <row r="468">
          <cell r="A468" t="str">
            <v>民469</v>
          </cell>
          <cell r="B468">
            <v>775</v>
          </cell>
          <cell r="C468" t="str">
            <v>ﾁﾊﾞﾀﾞｲｶﾞｸ</v>
          </cell>
          <cell r="E468">
            <v>469</v>
          </cell>
          <cell r="F468" t="str">
            <v>千葉大学大学院専門法務研究科</v>
          </cell>
          <cell r="G468" t="str">
            <v>千葉県千葉市稲毛区弥生町１－３３</v>
          </cell>
          <cell r="H468" t="str">
            <v>「欧州及び北米各国における外国人の在留管理実情調査・報告書作成」業務委嘱</v>
          </cell>
          <cell r="I468" t="str">
            <v xml:space="preserve">
外務省大臣官房会計課長　上月豊久
東京都千代田区霞が関２－２－１</v>
          </cell>
          <cell r="J468">
            <v>38638</v>
          </cell>
          <cell r="K468">
            <v>2548905</v>
          </cell>
          <cell r="L468" t="str">
            <v>契約目的達成のために必要な知見・ノウハウの蓄積を鑑みれば、本件契約相手先が最も適当であると判断されたことから、他に競争を許さない（会計法第２９条の３第４項）。</v>
          </cell>
          <cell r="M468" t="str">
            <v>見直しの余地があるもの</v>
          </cell>
          <cell r="N468" t="str">
            <v>１８年度以降において当該事務・事業の委託等を行う予定のないもの</v>
          </cell>
          <cell r="P468" t="str">
            <v>民×</v>
          </cell>
          <cell r="Q468" t="str">
            <v>民</v>
          </cell>
          <cell r="S468" t="str">
            <v>民18×</v>
          </cell>
          <cell r="U468" t="str">
            <v>民</v>
          </cell>
          <cell r="W468" t="str">
            <v>×</v>
          </cell>
          <cell r="AA468">
            <v>1701262</v>
          </cell>
          <cell r="AB468">
            <v>1</v>
          </cell>
          <cell r="AC468" t="str">
            <v>17G785</v>
          </cell>
          <cell r="AD468" t="str">
            <v>取扱注意</v>
          </cell>
          <cell r="AE468" t="str">
            <v>領外</v>
          </cell>
          <cell r="AF468" t="str">
            <v>会計課調達室／サービス調達第１班</v>
          </cell>
          <cell r="AG468" t="str">
            <v>竹澤</v>
          </cell>
        </row>
        <row r="469">
          <cell r="A469" t="str">
            <v>民470</v>
          </cell>
          <cell r="B469">
            <v>776</v>
          </cell>
          <cell r="C469" t="str">
            <v>ｷﾝｷﾆﾎﾝﾂｰﾘｽﾄ</v>
          </cell>
          <cell r="E469">
            <v>470</v>
          </cell>
          <cell r="F469" t="str">
            <v>近畿日本ツーリスト株式会社</v>
          </cell>
          <cell r="G469" t="str">
            <v>東京都港区虎ノ門１－１－２１</v>
          </cell>
          <cell r="H469" t="str">
            <v>世界環境会議「気候変動と持続可能な開発」開催業務委嘱</v>
          </cell>
          <cell r="I469" t="str">
            <v>外務省大臣官房会計課長　上月豊久　東京都千代田区霞が関２－２－１</v>
          </cell>
          <cell r="J469">
            <v>38639</v>
          </cell>
          <cell r="K469">
            <v>5010600</v>
          </cell>
          <cell r="L469" t="str">
            <v>本件会議は当省を含む関係省庁と地球行動会議(GEA)が共催するものであり、ロジ面の調整を中心となって行っているGEAにより本件契約先は会議運営の委嘱先として選定されていることから、本件も合わせ委嘱することが必要である（会計法第２９条の３第４項）。</v>
          </cell>
          <cell r="M469" t="str">
            <v>見直しの余地があるもの</v>
          </cell>
          <cell r="N469" t="str">
            <v>１８年度において当該事務・事業の委託等を行う予定のないもの</v>
          </cell>
          <cell r="P469" t="str">
            <v>民×</v>
          </cell>
          <cell r="Q469" t="str">
            <v>民</v>
          </cell>
          <cell r="S469" t="str">
            <v>民18×</v>
          </cell>
          <cell r="U469" t="str">
            <v>民</v>
          </cell>
          <cell r="W469" t="str">
            <v>×</v>
          </cell>
          <cell r="AA469">
            <v>1701146</v>
          </cell>
          <cell r="AB469">
            <v>1</v>
          </cell>
          <cell r="AC469" t="str">
            <v>17S993</v>
          </cell>
          <cell r="AD469" t="str">
            <v>無指定</v>
          </cell>
          <cell r="AE469" t="str">
            <v>国環</v>
          </cell>
          <cell r="AF469" t="str">
            <v>会計課調達室／サービス調達第２班</v>
          </cell>
          <cell r="AG469" t="str">
            <v>小林</v>
          </cell>
        </row>
        <row r="470">
          <cell r="A470" t="str">
            <v>民471</v>
          </cell>
          <cell r="B470">
            <v>777</v>
          </cell>
          <cell r="C470" t="str">
            <v>ｼﾝﾆｯﾃﾂ</v>
          </cell>
          <cell r="E470">
            <v>471</v>
          </cell>
          <cell r="F470" t="str">
            <v>新日鉄ソリューションズ株式会社</v>
          </cell>
          <cell r="G470" t="str">
            <v>東京都中央区新川２－２０－１５</v>
          </cell>
          <cell r="H470" t="str">
            <v>外務省庁舎モジュール交換工事実施契約</v>
          </cell>
          <cell r="I470" t="str">
            <v>外務省大臣官房会計課長　上月豊久　東京都千代田区霞が関２－２－１</v>
          </cell>
          <cell r="J470">
            <v>38644</v>
          </cell>
          <cell r="K470">
            <v>3507000</v>
          </cell>
          <cell r="L470" t="str">
            <v xml:space="preserve">
本システムの開発を行った会社が同システムに係る工事を行うものであり、競争を許さない（会計法第２９条の３第４項）</v>
          </cell>
          <cell r="M470" t="str">
            <v>見直しの余地があるもの</v>
          </cell>
          <cell r="N470" t="str">
            <v>平成１８年度以降において当該事務・事業の委託等を実施しない</v>
          </cell>
          <cell r="P470" t="str">
            <v>民×</v>
          </cell>
          <cell r="Q470" t="str">
            <v>民</v>
          </cell>
          <cell r="S470" t="str">
            <v>民18×</v>
          </cell>
          <cell r="U470" t="str">
            <v>民</v>
          </cell>
          <cell r="W470" t="str">
            <v>×</v>
          </cell>
          <cell r="AA470">
            <v>1701138</v>
          </cell>
          <cell r="AB470">
            <v>1</v>
          </cell>
          <cell r="AC470" t="str">
            <v>17W472</v>
          </cell>
          <cell r="AD470" t="str">
            <v>無指定</v>
          </cell>
          <cell r="AE470" t="str">
            <v>官情</v>
          </cell>
          <cell r="AF470" t="str">
            <v>会計課調達室／サービス調達第３班</v>
          </cell>
          <cell r="AG470" t="str">
            <v>川畑</v>
          </cell>
        </row>
        <row r="471">
          <cell r="A471" t="str">
            <v>民472</v>
          </cell>
          <cell r="B471">
            <v>778</v>
          </cell>
          <cell r="C471" t="str">
            <v>ﾌｼﾞﾃﾚｺﾑ</v>
          </cell>
          <cell r="E471">
            <v>472</v>
          </cell>
          <cell r="F471" t="str">
            <v>富士テレコム株式会社</v>
          </cell>
          <cell r="G471" t="str">
            <v>東京都板橋区板橋１－５３－２</v>
          </cell>
          <cell r="H471" t="str">
            <v>「国会関連業務支援システム・アプリケーション追加構築」業務委嘱</v>
          </cell>
          <cell r="I471" t="str">
            <v xml:space="preserve">
外務省大臣官房会計課長　上月豊久
東京都千代田区霞が関２－２－１</v>
          </cell>
          <cell r="J471">
            <v>38644</v>
          </cell>
          <cell r="K471">
            <v>1887480</v>
          </cell>
          <cell r="L471"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471" t="str">
            <v>見直しの余地があるもの</v>
          </cell>
          <cell r="N471" t="str">
            <v>１８年度において当該事務・事業の委託等を行う予定のないもの</v>
          </cell>
          <cell r="P471" t="str">
            <v>民×</v>
          </cell>
          <cell r="Q471" t="str">
            <v>民</v>
          </cell>
          <cell r="S471" t="str">
            <v>民18×</v>
          </cell>
          <cell r="U471" t="str">
            <v>民</v>
          </cell>
          <cell r="W471" t="str">
            <v>×</v>
          </cell>
          <cell r="AA471">
            <v>1701140</v>
          </cell>
          <cell r="AB471">
            <v>1</v>
          </cell>
          <cell r="AC471" t="str">
            <v>17W470</v>
          </cell>
          <cell r="AD471" t="str">
            <v>無指定</v>
          </cell>
          <cell r="AE471" t="str">
            <v>総</v>
          </cell>
          <cell r="AF471" t="str">
            <v>会計課調達室／サービス調達第３班</v>
          </cell>
          <cell r="AG471" t="str">
            <v>川畑</v>
          </cell>
        </row>
        <row r="472">
          <cell r="A472" t="str">
            <v>民473</v>
          </cell>
          <cell r="B472">
            <v>779</v>
          </cell>
          <cell r="C472" t="str">
            <v>ｻﾞｲﾆﾎﾝｼｽ</v>
          </cell>
          <cell r="E472">
            <v>473</v>
          </cell>
          <cell r="F472" t="str">
            <v>財団法人日本システム開発研究所</v>
          </cell>
          <cell r="G472" t="str">
            <v>東京都新宿区富久町１６－５</v>
          </cell>
          <cell r="H472" t="str">
            <v>「外交関係報道対策に係る調査・分析」業務委嘱</v>
          </cell>
          <cell r="I472" t="str">
            <v xml:space="preserve">
外務省大臣官房会計課長　上月豊久
東京都千代田区霞が関２－２－１</v>
          </cell>
          <cell r="J472">
            <v>38644</v>
          </cell>
          <cell r="K472">
            <v>2520000</v>
          </cell>
          <cell r="L472"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72" t="str">
            <v>見直しの余地があるもの</v>
          </cell>
          <cell r="N472" t="str">
            <v>企画招請を実施（１８年度以降も引き続き実施）</v>
          </cell>
          <cell r="P472" t="str">
            <v>民○</v>
          </cell>
          <cell r="Q472" t="str">
            <v>民</v>
          </cell>
          <cell r="R472" t="str">
            <v>○</v>
          </cell>
          <cell r="S472" t="str">
            <v>民18②</v>
          </cell>
          <cell r="U472" t="str">
            <v>民</v>
          </cell>
          <cell r="W472" t="str">
            <v>②</v>
          </cell>
          <cell r="AA472">
            <v>1701142</v>
          </cell>
          <cell r="AB472">
            <v>1</v>
          </cell>
          <cell r="AC472" t="str">
            <v>17G812</v>
          </cell>
          <cell r="AD472" t="str">
            <v>無指定</v>
          </cell>
          <cell r="AE472" t="str">
            <v>報報</v>
          </cell>
          <cell r="AF472" t="str">
            <v>会計課調達室／サービス調達第１班</v>
          </cell>
          <cell r="AG472" t="str">
            <v>村松</v>
          </cell>
        </row>
        <row r="473">
          <cell r="A473" t="str">
            <v>民474</v>
          </cell>
          <cell r="B473">
            <v>780</v>
          </cell>
          <cell r="C473" t="str">
            <v>ｶﾌﾞﾃｲｺｸﾎﾃﾙ</v>
          </cell>
          <cell r="E473">
            <v>474</v>
          </cell>
          <cell r="F473" t="str">
            <v>株式会社帝国ホテル</v>
          </cell>
          <cell r="G473" t="str">
            <v>神奈川県藤沢市遠藤５３２２</v>
          </cell>
          <cell r="H473" t="str">
            <v>海外安全対策関係者招聘契約</v>
          </cell>
          <cell r="I473" t="str">
            <v xml:space="preserve">
外務省大臣官房会計課長　上月豊久
東京都千代田区霞が関２－２－１</v>
          </cell>
          <cell r="J473">
            <v>38645</v>
          </cell>
          <cell r="K473">
            <v>1055234</v>
          </cell>
          <cell r="L473" t="str">
            <v>滞在中の行事、用務等日程の都合、立地条件、また賓客の希望やホテル側の受け入れ態勢などを総合的に判断し委嘱したものであり、他に競争を許さない（会計法第２９条の３第４項）。</v>
          </cell>
          <cell r="M473" t="str">
            <v>見直しの余地があるもの</v>
          </cell>
          <cell r="N473" t="str">
            <v>１８年度以降において当該事務・事業の委託等を行う予定のないもの</v>
          </cell>
          <cell r="P473" t="str">
            <v>民×</v>
          </cell>
          <cell r="Q473" t="str">
            <v>民</v>
          </cell>
          <cell r="S473" t="str">
            <v>民18×</v>
          </cell>
          <cell r="U473" t="str">
            <v>民</v>
          </cell>
          <cell r="W473" t="str">
            <v>×</v>
          </cell>
          <cell r="AA473">
            <v>1701233</v>
          </cell>
          <cell r="AB473">
            <v>1</v>
          </cell>
          <cell r="AC473" t="str">
            <v>17F158</v>
          </cell>
          <cell r="AD473" t="str">
            <v>無指定</v>
          </cell>
          <cell r="AE473" t="str">
            <v>領安</v>
          </cell>
          <cell r="AF473" t="str">
            <v>会計課調達室／サービス調達第２班</v>
          </cell>
          <cell r="AG473" t="str">
            <v>荒井</v>
          </cell>
        </row>
        <row r="474">
          <cell r="A474" t="str">
            <v>民475</v>
          </cell>
          <cell r="B474">
            <v>781</v>
          </cell>
          <cell r="C474" t="str">
            <v>ｺﾝﾄﾛｰﾙ</v>
          </cell>
          <cell r="E474">
            <v>475</v>
          </cell>
          <cell r="F474" t="str">
            <v>コントロール・リスクス・グループ株式会社</v>
          </cell>
          <cell r="G474" t="str">
            <v>東京都千代田区一番町２</v>
          </cell>
          <cell r="H474" t="str">
            <v>「海外テロ・誘拐対策のための危機管理研修及びセミナー」実施委嘱</v>
          </cell>
          <cell r="I474" t="str">
            <v xml:space="preserve">
外務省大臣官房会計課長　上月豊久
東京都千代田区霞が関２－２－１</v>
          </cell>
          <cell r="J474">
            <v>38646</v>
          </cell>
          <cell r="K474">
            <v>10861000</v>
          </cell>
          <cell r="L474" t="str">
            <v>契約目的を履行可能なノウハウを持ち、海外でのセミナー開催におけるロジ面でのサポートを受益可能な機関は契約相手先のみであり、他に競争を許さない（会計法第２９条の３第４項）。</v>
          </cell>
          <cell r="M474" t="str">
            <v>見直しの余地があるもの</v>
          </cell>
          <cell r="N474" t="str">
            <v>公募の可能性を検討する（１９年度から）</v>
          </cell>
          <cell r="P474" t="str">
            <v>民×</v>
          </cell>
          <cell r="Q474" t="str">
            <v>民</v>
          </cell>
          <cell r="S474" t="str">
            <v>民19②</v>
          </cell>
          <cell r="U474" t="str">
            <v>民</v>
          </cell>
          <cell r="X474" t="str">
            <v>②</v>
          </cell>
          <cell r="AA474">
            <v>1701121</v>
          </cell>
          <cell r="AB474">
            <v>1</v>
          </cell>
          <cell r="AC474" t="str">
            <v>17G772</v>
          </cell>
          <cell r="AD474" t="str">
            <v>取扱注意</v>
          </cell>
          <cell r="AE474" t="str">
            <v>領対</v>
          </cell>
          <cell r="AF474" t="str">
            <v>会計課調達室／サービス調達第１班</v>
          </cell>
          <cell r="AG474" t="str">
            <v>村松</v>
          </cell>
        </row>
        <row r="475">
          <cell r="A475" t="str">
            <v>民476</v>
          </cell>
          <cell r="B475">
            <v>782</v>
          </cell>
          <cell r="C475" t="str">
            <v>ｻﾞｲｼｬｶｲｹｲｻﾞｲ</v>
          </cell>
          <cell r="E475">
            <v>476</v>
          </cell>
          <cell r="F475" t="str">
            <v>財団法人社会経済生産性本部</v>
          </cell>
          <cell r="G475" t="str">
            <v>東京都渋谷区渋谷３－１－１</v>
          </cell>
          <cell r="H475" t="str">
            <v>日本センターＯＪＴ研修「運輸・物流ＯＪＴ」実施委嘱</v>
          </cell>
          <cell r="I475" t="str">
            <v xml:space="preserve">
外務省大臣官房会計課長　上月豊久
東京都千代田区霞が関２－２－１</v>
          </cell>
          <cell r="J475">
            <v>38649</v>
          </cell>
          <cell r="K475">
            <v>12269891</v>
          </cell>
          <cell r="L475"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75" t="str">
            <v>見直しの余地があるもの</v>
          </cell>
          <cell r="N475" t="str">
            <v>企画招請を実施（１８年度以降も引き続き実施）</v>
          </cell>
          <cell r="P475" t="str">
            <v>民○</v>
          </cell>
          <cell r="Q475" t="str">
            <v>民</v>
          </cell>
          <cell r="R475" t="str">
            <v>○</v>
          </cell>
          <cell r="S475" t="str">
            <v>民18②</v>
          </cell>
          <cell r="U475" t="str">
            <v>民</v>
          </cell>
          <cell r="W475" t="str">
            <v>②</v>
          </cell>
          <cell r="AA475">
            <v>1701150</v>
          </cell>
          <cell r="AB475">
            <v>1</v>
          </cell>
          <cell r="AC475" t="str">
            <v>17G707</v>
          </cell>
          <cell r="AD475" t="str">
            <v>無指定</v>
          </cell>
          <cell r="AE475" t="str">
            <v>欧支</v>
          </cell>
          <cell r="AF475" t="str">
            <v>会計課調達室／サービス調達第１班</v>
          </cell>
          <cell r="AG475" t="str">
            <v>村松</v>
          </cell>
        </row>
        <row r="476">
          <cell r="A476" t="str">
            <v>民477</v>
          </cell>
          <cell r="B476">
            <v>783</v>
          </cell>
          <cell r="C476" t="str">
            <v>ｶﾌﾞｺﾝｸﾞﾚ</v>
          </cell>
          <cell r="E476">
            <v>477</v>
          </cell>
          <cell r="F476" t="str">
            <v>株式会社コングレ</v>
          </cell>
          <cell r="G476" t="str">
            <v>東京都千代田区麹町５－１</v>
          </cell>
          <cell r="H476" t="str">
            <v>「在外選挙制度改善のためのアンケート調査の集計・分析」業務委嘱</v>
          </cell>
          <cell r="I476" t="str">
            <v xml:space="preserve">
外務省大臣官房会計課長　上月豊久
東京都千代田区霞が関２－２－１</v>
          </cell>
          <cell r="J476">
            <v>38649</v>
          </cell>
          <cell r="K476">
            <v>2037000</v>
          </cell>
          <cell r="L476" t="str">
            <v>選挙に関する最高裁の判決を踏まえ、在外選挙実施体制整備に関する資料作成のため海外有権者のアンケート結果を早急にとりまとめる必要が生じたところ、過去同様の業務を請け負った経験のある同社と緊急に随意契約を行ったもの（会計法第２９条の３第４項）。</v>
          </cell>
          <cell r="M476" t="str">
            <v>見直しの余地があるもの</v>
          </cell>
          <cell r="N476" t="str">
            <v>１８年度以降において当該事務・事業の委託等を行う予定のないもの</v>
          </cell>
          <cell r="O476" t="str">
            <v>一部単価契約</v>
          </cell>
          <cell r="P476" t="str">
            <v>民×</v>
          </cell>
          <cell r="Q476" t="str">
            <v>民</v>
          </cell>
          <cell r="S476" t="str">
            <v>民18×</v>
          </cell>
          <cell r="U476" t="str">
            <v>民</v>
          </cell>
          <cell r="W476" t="str">
            <v>×</v>
          </cell>
          <cell r="AA476">
            <v>1701256</v>
          </cell>
          <cell r="AB476">
            <v>1</v>
          </cell>
          <cell r="AC476" t="str">
            <v>17g830</v>
          </cell>
          <cell r="AD476" t="str">
            <v>無指定</v>
          </cell>
          <cell r="AE476" t="str">
            <v>領政</v>
          </cell>
          <cell r="AF476" t="str">
            <v>会計課調達室／サービス調達第１班</v>
          </cell>
          <cell r="AG476" t="str">
            <v>竹澤</v>
          </cell>
        </row>
        <row r="477">
          <cell r="A477" t="str">
            <v>民478</v>
          </cell>
          <cell r="B477">
            <v>784</v>
          </cell>
          <cell r="C477" t="str">
            <v>ｶﾌﾞﾉﾑﾗ</v>
          </cell>
          <cell r="E477">
            <v>478</v>
          </cell>
          <cell r="F477" t="str">
            <v>株式会社　野村総合研究所</v>
          </cell>
          <cell r="G477" t="str">
            <v>東京都千代田区丸の内１－６－５</v>
          </cell>
          <cell r="H477" t="str">
            <v>外務省情報ネットワーク（共通システム）最適化計画策定支援</v>
          </cell>
          <cell r="I477" t="str">
            <v xml:space="preserve">
外務省大臣官房会計課長　上月豊久
東京都千代田区霞が関２－２－１</v>
          </cell>
          <cell r="J477">
            <v>38651</v>
          </cell>
          <cell r="K477">
            <v>47775000</v>
          </cell>
          <cell r="L477" t="str">
            <v>公示の上、資料提供企画招請を行い、提出された企画書審査等を通じ企画内容・見積額等により判断し、同社が最も高い評価を得て確実な業務の履行が可能であると認められたもの（会計法第２９条の３第４項、特定政令に該当）</v>
          </cell>
          <cell r="M477" t="str">
            <v>見直しの余地があるもの</v>
          </cell>
          <cell r="N477" t="str">
            <v>平成１８年度以降において当該事務・事業の委託等を実施しない</v>
          </cell>
          <cell r="P477" t="str">
            <v>民○</v>
          </cell>
          <cell r="Q477" t="str">
            <v>民</v>
          </cell>
          <cell r="R477" t="str">
            <v>○</v>
          </cell>
          <cell r="S477" t="str">
            <v>民18×</v>
          </cell>
          <cell r="U477" t="str">
            <v>民</v>
          </cell>
          <cell r="W477" t="str">
            <v>×</v>
          </cell>
          <cell r="AA477">
            <v>1701072</v>
          </cell>
          <cell r="AB477">
            <v>1</v>
          </cell>
          <cell r="AC477" t="str">
            <v>17W438</v>
          </cell>
          <cell r="AD477" t="str">
            <v xml:space="preserve"> </v>
          </cell>
          <cell r="AE477" t="str">
            <v>官情</v>
          </cell>
          <cell r="AF477" t="str">
            <v>会計課調達室／サービス調達第３班</v>
          </cell>
          <cell r="AG477" t="str">
            <v>川上</v>
          </cell>
        </row>
        <row r="478">
          <cell r="A478" t="str">
            <v>民479</v>
          </cell>
          <cell r="B478">
            <v>785</v>
          </cell>
          <cell r="C478" t="str">
            <v>ﾍﾞﾘﾝｸﾞﾎﾟｲﾝﾄ</v>
          </cell>
          <cell r="E478">
            <v>479</v>
          </cell>
          <cell r="F478" t="str">
            <v>べリングポイント株式会社</v>
          </cell>
          <cell r="G478" t="str">
            <v>東京都千代田区丸の内１－１１－１</v>
          </cell>
          <cell r="H478" t="str">
            <v>在外経理システムの業務・システムの最適化計画策定支援業務</v>
          </cell>
          <cell r="I478" t="str">
            <v>外務省大臣官房会計課長　上月豊久　東京都千代田区霞が関２－２－１</v>
          </cell>
          <cell r="J478">
            <v>38651</v>
          </cell>
          <cell r="K478">
            <v>47925000</v>
          </cell>
          <cell r="L478" t="str">
            <v>公示の上資料提供企画招請を行い、提示された企画書審査等を通じ企画内容・見積額等により判断し、同社が最も高い評価を得て確実な業務の履行が可能であると認められたもの(会計法第２９条の３第４項、特定政令に該当）</v>
          </cell>
          <cell r="M478" t="str">
            <v>見直しの余地があるもの</v>
          </cell>
          <cell r="N478" t="str">
            <v>１８年度において当該事務・事業の委託を行わない</v>
          </cell>
          <cell r="P478" t="str">
            <v>民○</v>
          </cell>
          <cell r="Q478" t="str">
            <v>民</v>
          </cell>
          <cell r="R478" t="str">
            <v>○</v>
          </cell>
          <cell r="S478" t="str">
            <v>民18×</v>
          </cell>
          <cell r="U478" t="str">
            <v>民</v>
          </cell>
          <cell r="W478" t="str">
            <v>×</v>
          </cell>
        </row>
        <row r="479">
          <cell r="A479" t="str">
            <v>民480</v>
          </cell>
          <cell r="B479">
            <v>786</v>
          </cell>
          <cell r="C479" t="str">
            <v>ｶﾌﾞﾄｳｷｮｳﾘｻｰﾁ</v>
          </cell>
          <cell r="E479">
            <v>480</v>
          </cell>
          <cell r="F479" t="str">
            <v>株式会社東京リサーチインターナショナル</v>
          </cell>
          <cell r="G479" t="str">
            <v>東京都千代田区丸の内１－８－２</v>
          </cell>
          <cell r="H479" t="str">
            <v>日本センター巡回講座・訪日研修「物流・貿易実務」実施委嘱</v>
          </cell>
          <cell r="I479" t="str">
            <v xml:space="preserve">
外務省大臣官房会計課長　上月豊久
東京都千代田区霞が関２－２－１</v>
          </cell>
          <cell r="J479">
            <v>38656</v>
          </cell>
          <cell r="K479">
            <v>14367175</v>
          </cell>
          <cell r="L47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79" t="str">
            <v>見直しの余地があるもの</v>
          </cell>
          <cell r="N479" t="str">
            <v>企画招請を実施（１８年度以降も引き続き実施）</v>
          </cell>
          <cell r="P479" t="str">
            <v>民○</v>
          </cell>
          <cell r="Q479" t="str">
            <v>民</v>
          </cell>
          <cell r="R479" t="str">
            <v>○</v>
          </cell>
          <cell r="S479" t="str">
            <v>民18②</v>
          </cell>
          <cell r="U479" t="str">
            <v>民</v>
          </cell>
          <cell r="W479" t="str">
            <v>②</v>
          </cell>
          <cell r="AA479">
            <v>1701169</v>
          </cell>
          <cell r="AB479">
            <v>1</v>
          </cell>
          <cell r="AC479" t="str">
            <v>17G738</v>
          </cell>
          <cell r="AD479" t="str">
            <v>無指定</v>
          </cell>
          <cell r="AE479" t="str">
            <v>欧支</v>
          </cell>
          <cell r="AF479" t="str">
            <v>会計課調達室／サービス調達第１班</v>
          </cell>
          <cell r="AG479" t="str">
            <v>村松</v>
          </cell>
        </row>
        <row r="480">
          <cell r="A480" t="str">
            <v>民481</v>
          </cell>
          <cell r="B480">
            <v>787</v>
          </cell>
          <cell r="C480" t="str">
            <v>ｶﾌﾞｻﾞｺﾝ</v>
          </cell>
          <cell r="E480">
            <v>481</v>
          </cell>
          <cell r="F480" t="str">
            <v>株式会社ザ・コンベンション</v>
          </cell>
          <cell r="G480" t="str">
            <v>東京都港区南青山２－６－１２</v>
          </cell>
          <cell r="H480" t="str">
            <v>「第10回汎太平洋新興感染症国際会議」出席者に対するサービス業務委嘱</v>
          </cell>
          <cell r="I480" t="str">
            <v xml:space="preserve">
外務省大臣官房会計課長　上月豊久
東京都千代田区霞が関２－２－１</v>
          </cell>
          <cell r="J480">
            <v>38656</v>
          </cell>
          <cell r="K480">
            <v>2212428</v>
          </cell>
          <cell r="L480" t="str">
            <v>契約相手先は本件会議の主催者より会議運営に関する業務を委嘱されており、当方業務を円滑に委嘱するには同社と契約することが不可欠である（会計法第２９条の３第４項）。</v>
          </cell>
          <cell r="M480" t="str">
            <v>見直しの余地があるもの</v>
          </cell>
          <cell r="N480" t="str">
            <v>競争入札へ移行（１８年度から）</v>
          </cell>
          <cell r="P480" t="str">
            <v>民×</v>
          </cell>
          <cell r="Q480" t="str">
            <v>民</v>
          </cell>
          <cell r="S480" t="str">
            <v>民18①</v>
          </cell>
          <cell r="U480" t="str">
            <v>民</v>
          </cell>
          <cell r="W480" t="str">
            <v>①</v>
          </cell>
          <cell r="AA480">
            <v>1701241</v>
          </cell>
          <cell r="AB480">
            <v>1</v>
          </cell>
          <cell r="AC480" t="str">
            <v>17G857</v>
          </cell>
          <cell r="AD480" t="str">
            <v>無指定</v>
          </cell>
          <cell r="AE480" t="str">
            <v>北米１</v>
          </cell>
          <cell r="AF480" t="str">
            <v>会計課調達室／サービス調達第２班</v>
          </cell>
          <cell r="AG480" t="str">
            <v>小林</v>
          </cell>
        </row>
        <row r="481">
          <cell r="A481" t="str">
            <v>民482</v>
          </cell>
          <cell r="B481">
            <v>788</v>
          </cell>
          <cell r="C481" t="str">
            <v>ｶﾌﾞﾋﾀﾁｾｲｻｸ</v>
          </cell>
          <cell r="E481">
            <v>482</v>
          </cell>
          <cell r="F481" t="str">
            <v>株式会社日立製作所　</v>
          </cell>
          <cell r="G481" t="str">
            <v>東京都江東区新砂１－６－２７</v>
          </cell>
          <cell r="H481" t="str">
            <v>「ＣＲＳシステム機能拡張」業務委嘱</v>
          </cell>
          <cell r="I481" t="str">
            <v>外務省大臣官房会計課長　上月豊久　東京都千代田区霞が関２－２－１</v>
          </cell>
          <cell r="J481">
            <v>38657</v>
          </cell>
          <cell r="K481">
            <v>7129500</v>
          </cell>
          <cell r="L481" t="str">
            <v>システムの開発業者が、自社製品やカスタマイズされた独自の機器、システムを使用しているため、その改修を行えるのは当該業者以外になく、他に競争を許さない（会計法第２９条の３第４項）。</v>
          </cell>
          <cell r="M481" t="str">
            <v>見直しの余地があるもの</v>
          </cell>
          <cell r="N481" t="str">
            <v>１８年度において当該事務・事業の委託等を行う予定のないもの</v>
          </cell>
          <cell r="P481" t="str">
            <v>民×</v>
          </cell>
          <cell r="Q481" t="str">
            <v>民</v>
          </cell>
          <cell r="S481" t="str">
            <v>民18×</v>
          </cell>
          <cell r="U481" t="str">
            <v>民</v>
          </cell>
          <cell r="W481" t="str">
            <v>×</v>
          </cell>
          <cell r="AA481">
            <v>1701175</v>
          </cell>
          <cell r="AB481">
            <v>1</v>
          </cell>
          <cell r="AC481" t="str">
            <v>17W484</v>
          </cell>
          <cell r="AD481" t="str">
            <v>無指定</v>
          </cell>
          <cell r="AE481" t="str">
            <v>経協計</v>
          </cell>
          <cell r="AF481" t="str">
            <v>会計課調達室／サービス調達第３班</v>
          </cell>
          <cell r="AG481" t="str">
            <v>川畑</v>
          </cell>
        </row>
        <row r="482">
          <cell r="A482" t="str">
            <v>民483</v>
          </cell>
          <cell r="B482">
            <v>789</v>
          </cell>
          <cell r="C482" t="str">
            <v>ｶﾌﾞﾌｼﾞ</v>
          </cell>
          <cell r="E482">
            <v>483</v>
          </cell>
          <cell r="F482" t="str">
            <v>株式会社藤原事務所</v>
          </cell>
          <cell r="G482" t="str">
            <v>東京都千代田区平河町２－３－１８</v>
          </cell>
          <cell r="H482" t="str">
            <v>ワールド・パートナーシップ・フォーラム「産業と文化、その創造的発展」開催業務委嘱</v>
          </cell>
          <cell r="I482" t="str">
            <v>外務省大臣官房会計課長　上月豊久　東京都千代田区霞が関２－２－１</v>
          </cell>
          <cell r="J482">
            <v>38658</v>
          </cell>
          <cell r="K482">
            <v>2002000</v>
          </cell>
          <cell r="L482" t="str">
            <v>本フォーラムは共催団体であるフォーラム実行委員会と費用を分担して実施するものであり、主団体であるフォーラム実行委員会代表幹事である契約相手先以外には契約を行えない（会計法第２９条の３第４項）。</v>
          </cell>
          <cell r="M482" t="str">
            <v>その他のもの</v>
          </cell>
          <cell r="N482" t="str">
            <v>随意契約によらざるを得ないもの</v>
          </cell>
          <cell r="P482" t="str">
            <v>民×</v>
          </cell>
          <cell r="Q482" t="str">
            <v>民</v>
          </cell>
          <cell r="S482" t="str">
            <v>民1</v>
          </cell>
          <cell r="U482" t="str">
            <v>民</v>
          </cell>
          <cell r="V482" t="str">
            <v>●</v>
          </cell>
          <cell r="AA482">
            <v>1701390</v>
          </cell>
          <cell r="AB482">
            <v>1</v>
          </cell>
          <cell r="AC482" t="str">
            <v>17G861</v>
          </cell>
          <cell r="AD482" t="str">
            <v>無指定</v>
          </cell>
          <cell r="AE482" t="str">
            <v>広文総</v>
          </cell>
          <cell r="AF482" t="str">
            <v>会計課調達室／サービス調達第２班</v>
          </cell>
          <cell r="AG482" t="str">
            <v>高出</v>
          </cell>
        </row>
        <row r="483">
          <cell r="A483" t="str">
            <v>民484</v>
          </cell>
          <cell r="B483">
            <v>790</v>
          </cell>
          <cell r="C483" t="str">
            <v>ｼｬﾀﾞﾝﾎｯｶｲﾄﾞｳ</v>
          </cell>
          <cell r="E483">
            <v>484</v>
          </cell>
          <cell r="F483" t="str">
            <v>社団法人北海道総合研究調査会</v>
          </cell>
          <cell r="G483" t="str">
            <v>北海道札幌市中央区北四条西６ー１－１</v>
          </cell>
          <cell r="H483" t="str">
            <v>日本センターＯＪＴ研修「木材加工ＯＪＴ」実施委嘱</v>
          </cell>
          <cell r="I483" t="str">
            <v xml:space="preserve">
外務省大臣官房会計課長　上月豊久
東京都千代田区霞が関２－２－１</v>
          </cell>
          <cell r="J483">
            <v>38663</v>
          </cell>
          <cell r="K483">
            <v>11941953</v>
          </cell>
          <cell r="L483"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83" t="str">
            <v>見直しの余地があるもの</v>
          </cell>
          <cell r="N483" t="str">
            <v>企画招請を実施（１８年度以降も引き続き実施）</v>
          </cell>
          <cell r="P483" t="str">
            <v>民○</v>
          </cell>
          <cell r="Q483" t="str">
            <v>民</v>
          </cell>
          <cell r="R483" t="str">
            <v>○</v>
          </cell>
          <cell r="S483" t="str">
            <v>民18②</v>
          </cell>
          <cell r="U483" t="str">
            <v>民</v>
          </cell>
          <cell r="W483" t="str">
            <v>②</v>
          </cell>
          <cell r="AA483">
            <v>1701149</v>
          </cell>
          <cell r="AB483">
            <v>1</v>
          </cell>
          <cell r="AC483" t="str">
            <v>17G706</v>
          </cell>
          <cell r="AD483" t="str">
            <v>無指定</v>
          </cell>
          <cell r="AE483" t="str">
            <v>欧支</v>
          </cell>
          <cell r="AF483" t="str">
            <v>会計課調達室／サービス調達第１班</v>
          </cell>
          <cell r="AG483" t="str">
            <v>村松</v>
          </cell>
        </row>
        <row r="484">
          <cell r="A484" t="str">
            <v>民485</v>
          </cell>
          <cell r="B484">
            <v>791</v>
          </cell>
          <cell r="C484" t="str">
            <v>ｶﾌﾞﾕｰｴﾌｼﾞｪｲｿｳｺﾞｳ</v>
          </cell>
          <cell r="E484">
            <v>485</v>
          </cell>
          <cell r="F484" t="str">
            <v>株式会社ＵＦＪ総合研究所</v>
          </cell>
          <cell r="G484" t="str">
            <v>東京都港区新橋１－１１－７</v>
          </cell>
          <cell r="H484" t="str">
            <v>「ＧＣＣ諸国との経済関係強化の枠組み等調査」業務委嘱</v>
          </cell>
          <cell r="I484" t="str">
            <v xml:space="preserve">
外務省大臣官房会計課長　上月豊久
東京都千代田区霞が関２－２－１</v>
          </cell>
          <cell r="J484">
            <v>38667</v>
          </cell>
          <cell r="K484">
            <v>4497570</v>
          </cell>
          <cell r="L48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84" t="str">
            <v>見直しの余地があるもの</v>
          </cell>
          <cell r="N484" t="str">
            <v>１８年度以降において当該事務・事業の委託等を行う予定のないもの</v>
          </cell>
          <cell r="P484" t="str">
            <v>民○</v>
          </cell>
          <cell r="Q484" t="str">
            <v>民</v>
          </cell>
          <cell r="R484" t="str">
            <v>○</v>
          </cell>
          <cell r="S484" t="str">
            <v>民18×</v>
          </cell>
          <cell r="U484" t="str">
            <v>民</v>
          </cell>
          <cell r="W484" t="str">
            <v>×</v>
          </cell>
          <cell r="AA484">
            <v>1701187</v>
          </cell>
          <cell r="AB484">
            <v>1</v>
          </cell>
          <cell r="AC484" t="str">
            <v>17G878</v>
          </cell>
          <cell r="AD484" t="str">
            <v>無指定</v>
          </cell>
          <cell r="AE484" t="str">
            <v>中東２</v>
          </cell>
          <cell r="AF484" t="str">
            <v>会計課調達室／サービス調達第１班</v>
          </cell>
          <cell r="AG484" t="str">
            <v>村松</v>
          </cell>
        </row>
        <row r="485">
          <cell r="A485" t="str">
            <v>民486</v>
          </cell>
          <cell r="B485">
            <v>792</v>
          </cell>
          <cell r="C485" t="str">
            <v>ｶﾌﾞﾀﾞｲｷﾝ</v>
          </cell>
          <cell r="E485">
            <v>486</v>
          </cell>
          <cell r="F485" t="str">
            <v>株式会社ダイキンアプライドシステムズ</v>
          </cell>
          <cell r="G485" t="str">
            <v>東京都港区芝浦４－１３－２３</v>
          </cell>
          <cell r="H485" t="str">
            <v>飯倉別館冷温水発生機分解整備工事実施契約</v>
          </cell>
          <cell r="I485" t="str">
            <v>外務省大臣官房会計課長　上月豊久　東京都千代田区霞が関２－２－１</v>
          </cell>
          <cell r="J485">
            <v>38671</v>
          </cell>
          <cell r="K485">
            <v>4935000</v>
          </cell>
          <cell r="L485" t="str">
            <v>本設備の製造メーカー且つ施工業者である会社が同システムの保守を行うものであり、他に競争を許さない（会計法第２９条の３第４項）。</v>
          </cell>
          <cell r="M485" t="str">
            <v>見直しの余地があるもの</v>
          </cell>
          <cell r="N485" t="str">
            <v>18年度において当該事務・事業の委託を行う予定のないもの</v>
          </cell>
          <cell r="P485" t="str">
            <v>民×</v>
          </cell>
          <cell r="Q485" t="str">
            <v>民</v>
          </cell>
          <cell r="S485" t="str">
            <v>民18×</v>
          </cell>
          <cell r="U485" t="str">
            <v>民</v>
          </cell>
          <cell r="W485" t="str">
            <v>×</v>
          </cell>
          <cell r="AA485">
            <v>1701220</v>
          </cell>
          <cell r="AB485">
            <v>1</v>
          </cell>
          <cell r="AD485" t="str">
            <v>無指定</v>
          </cell>
          <cell r="AE485" t="str">
            <v>会</v>
          </cell>
          <cell r="AF485" t="str">
            <v>会計課調達室／政府調達班</v>
          </cell>
          <cell r="AG485" t="str">
            <v>石井</v>
          </cell>
        </row>
        <row r="486">
          <cell r="A486" t="str">
            <v>民487</v>
          </cell>
          <cell r="B486">
            <v>793</v>
          </cell>
          <cell r="C486" t="str">
            <v>ｶﾌﾞｾｲｶﾂﾈｯﾄ</v>
          </cell>
          <cell r="E486">
            <v>487</v>
          </cell>
          <cell r="F486" t="str">
            <v>株式会社生活ネット研究所</v>
          </cell>
          <cell r="G486" t="str">
            <v>富山県富山市小杉１２０</v>
          </cell>
          <cell r="H486" t="str">
            <v>「北西太平洋地域海行動計画第10回政府間会合」開催業務委嘱</v>
          </cell>
          <cell r="I486" t="str">
            <v>外務省大臣官房会計課長　上月豊久　東京都千代田区霞が関２－２－１</v>
          </cell>
          <cell r="J486">
            <v>38671</v>
          </cell>
          <cell r="K486">
            <v>2295273</v>
          </cell>
          <cell r="L486" t="str">
            <v>国際会議会場は、共催者により富山国際会議場の利用が決まっており、会議運営にあたっては同会議場にスタッフを常駐させている契約相手先との契約が不可欠である（会計法第２９条の３第４項）。</v>
          </cell>
          <cell r="M486" t="str">
            <v>見直しの余地があるもの</v>
          </cell>
          <cell r="N486" t="str">
            <v>１８年度において当該事務・事業の委託を行う予定のないもの</v>
          </cell>
          <cell r="P486" t="str">
            <v>民×</v>
          </cell>
          <cell r="Q486" t="str">
            <v>民</v>
          </cell>
          <cell r="S486" t="str">
            <v>民18×</v>
          </cell>
          <cell r="U486" t="str">
            <v>民</v>
          </cell>
          <cell r="W486" t="str">
            <v>×</v>
          </cell>
          <cell r="AA486">
            <v>1701374</v>
          </cell>
          <cell r="AB486">
            <v>1</v>
          </cell>
          <cell r="AC486" t="str">
            <v>17T119</v>
          </cell>
          <cell r="AD486" t="str">
            <v>無指定</v>
          </cell>
          <cell r="AE486" t="str">
            <v>国環</v>
          </cell>
          <cell r="AF486" t="str">
            <v>会計課調達室／サービス調達第２班</v>
          </cell>
          <cell r="AG486" t="str">
            <v>荒井</v>
          </cell>
        </row>
        <row r="487">
          <cell r="A487" t="str">
            <v>民488</v>
          </cell>
          <cell r="B487">
            <v>794</v>
          </cell>
          <cell r="C487" t="str">
            <v>ﾌｼﾞﾂｳ</v>
          </cell>
          <cell r="E487">
            <v>488</v>
          </cell>
          <cell r="F487" t="str">
            <v>富士通株式会社</v>
          </cell>
          <cell r="G487" t="str">
            <v>東京都港区東新橋１－５－２</v>
          </cell>
          <cell r="H487" t="str">
            <v>「領事関連データ管理システム巡回指導」保守契約</v>
          </cell>
          <cell r="I487" t="str">
            <v xml:space="preserve">
外務省大臣官房会計課長　上月豊久
東京都千代田区霞が関２－２－１</v>
          </cell>
          <cell r="J487">
            <v>38671</v>
          </cell>
          <cell r="K487">
            <v>2429280</v>
          </cell>
          <cell r="L487"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487" t="str">
            <v>見直しの余地があるもの</v>
          </cell>
          <cell r="N487" t="str">
            <v>１８年度以降において当該事務・事業の委託等を行う予定のないもの</v>
          </cell>
          <cell r="P487" t="str">
            <v>民×</v>
          </cell>
          <cell r="Q487" t="str">
            <v>民</v>
          </cell>
          <cell r="S487" t="str">
            <v>民18×</v>
          </cell>
          <cell r="U487" t="str">
            <v>民</v>
          </cell>
          <cell r="W487" t="str">
            <v>×</v>
          </cell>
          <cell r="AA487">
            <v>1701195</v>
          </cell>
          <cell r="AB487">
            <v>1</v>
          </cell>
          <cell r="AC487" t="str">
            <v>17G864</v>
          </cell>
          <cell r="AD487" t="str">
            <v>無指定</v>
          </cell>
          <cell r="AE487" t="str">
            <v>領政</v>
          </cell>
          <cell r="AF487" t="str">
            <v>会計課調達室／サービス調達第３班</v>
          </cell>
          <cell r="AG487" t="str">
            <v>川畑</v>
          </cell>
        </row>
        <row r="488">
          <cell r="A488" t="str">
            <v>民489</v>
          </cell>
          <cell r="B488">
            <v>795</v>
          </cell>
          <cell r="C488" t="str">
            <v>ｶﾌﾞﾗﾃﾞｯｸｽ</v>
          </cell>
          <cell r="E488">
            <v>489</v>
          </cell>
          <cell r="F488" t="str">
            <v>株式会社ラデックス</v>
          </cell>
          <cell r="G488" t="str">
            <v>東京都台東区蔵前３－１－１０</v>
          </cell>
          <cell r="H488" t="str">
            <v>「外電検索システム改修」業務委嘱</v>
          </cell>
          <cell r="I488" t="str">
            <v>外務省大臣官房会計課長　上月豊久　東京都千代田区霞が関２－２－１</v>
          </cell>
          <cell r="J488">
            <v>38672</v>
          </cell>
          <cell r="K488">
            <v>6699000</v>
          </cell>
          <cell r="L488"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488" t="str">
            <v>見直しの余地があるもの</v>
          </cell>
          <cell r="N488" t="str">
            <v>１８年度以降において当該事務・事業の委託等を行う予定のないもの</v>
          </cell>
          <cell r="P488" t="str">
            <v>民×</v>
          </cell>
          <cell r="Q488" t="str">
            <v>民</v>
          </cell>
          <cell r="S488" t="str">
            <v>民18×</v>
          </cell>
          <cell r="U488" t="str">
            <v>民</v>
          </cell>
          <cell r="W488" t="str">
            <v>×</v>
          </cell>
          <cell r="AA488">
            <v>1701186</v>
          </cell>
          <cell r="AB488">
            <v>1</v>
          </cell>
          <cell r="AC488" t="str">
            <v>17W441</v>
          </cell>
          <cell r="AD488" t="str">
            <v>無指定</v>
          </cell>
          <cell r="AE488" t="str">
            <v>情報４</v>
          </cell>
          <cell r="AF488" t="str">
            <v>会計課調達室／サービス調達第３班</v>
          </cell>
          <cell r="AG488" t="str">
            <v>川畑</v>
          </cell>
        </row>
        <row r="489">
          <cell r="A489" t="str">
            <v>民490</v>
          </cell>
          <cell r="B489">
            <v>796</v>
          </cell>
          <cell r="C489" t="str">
            <v>ｶﾌﾞﾌﾞﾝｶｺｳﾎﾞｳ</v>
          </cell>
          <cell r="E489">
            <v>490</v>
          </cell>
          <cell r="F489" t="str">
            <v>株式会社文化工房</v>
          </cell>
          <cell r="G489" t="str">
            <v>東京都港区六本木５－１０－３１</v>
          </cell>
          <cell r="H489" t="str">
            <v>「２００５年日・ＥＵ市民交流年」総括電子報告書の作成</v>
          </cell>
          <cell r="I489" t="str">
            <v xml:space="preserve">
外務省大臣官房会計課長　上月豊久
東京都千代田区霞が関２－２－１</v>
          </cell>
          <cell r="J489">
            <v>38674</v>
          </cell>
          <cell r="K489">
            <v>4252500</v>
          </cell>
          <cell r="L48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89" t="str">
            <v>見直しの余地があるもの</v>
          </cell>
          <cell r="N489" t="str">
            <v>１８年度以降において当該事務・事業の委託等を行う予定のないもの</v>
          </cell>
          <cell r="P489" t="str">
            <v>民○</v>
          </cell>
          <cell r="Q489" t="str">
            <v>民</v>
          </cell>
          <cell r="R489" t="str">
            <v>○</v>
          </cell>
          <cell r="S489" t="str">
            <v>民18×</v>
          </cell>
          <cell r="U489" t="str">
            <v>民</v>
          </cell>
          <cell r="W489" t="str">
            <v>×</v>
          </cell>
          <cell r="AA489">
            <v>1701389</v>
          </cell>
          <cell r="AB489">
            <v>1</v>
          </cell>
          <cell r="AC489" t="str">
            <v>17X376</v>
          </cell>
          <cell r="AD489" t="str">
            <v>無指定</v>
          </cell>
          <cell r="AE489" t="str">
            <v>欧政策</v>
          </cell>
          <cell r="AF489" t="str">
            <v>会計課調達室／サービス調達第２班</v>
          </cell>
          <cell r="AG489" t="str">
            <v>高出</v>
          </cell>
        </row>
        <row r="490">
          <cell r="A490" t="str">
            <v>民491</v>
          </cell>
          <cell r="B490">
            <v>797</v>
          </cell>
          <cell r="C490" t="str">
            <v>ｶﾌﾞﾊｯｷﾝ</v>
          </cell>
          <cell r="E490">
            <v>491</v>
          </cell>
          <cell r="F490" t="str">
            <v>株式会社白金</v>
          </cell>
          <cell r="G490" t="str">
            <v>東京都中央区日本橋本町２－４－１２</v>
          </cell>
          <cell r="H490" t="str">
            <v>在外公館向け公邸用規格食器の作成</v>
          </cell>
          <cell r="I490" t="str">
            <v>外務省大臣官房会計課長　上月豊久　東京都千代田区霞が関２－２－１</v>
          </cell>
          <cell r="J490">
            <v>38674</v>
          </cell>
          <cell r="K490">
            <v>4812822</v>
          </cell>
          <cell r="L490" t="str">
            <v>本件は、全在外公館統一規格で配備している食器類の発注である。本件食器の「型」は業者が保管して、１個の発注にも備えており、効率性、価格面から考えても他に競争を許さない（会計法第２９条の３第４項）。</v>
          </cell>
          <cell r="M490" t="str">
            <v>見直しの余地があるもの</v>
          </cell>
          <cell r="N490" t="str">
            <v>コスト面を考慮しつつ、競争入札等に移行できるかどうかにつき検討中。</v>
          </cell>
          <cell r="P490" t="str">
            <v>民×</v>
          </cell>
          <cell r="Q490" t="str">
            <v>民</v>
          </cell>
          <cell r="S490" t="str">
            <v>民21①</v>
          </cell>
          <cell r="U490" t="str">
            <v>民</v>
          </cell>
          <cell r="Z490" t="str">
            <v>①</v>
          </cell>
          <cell r="AA490">
            <v>1701286</v>
          </cell>
          <cell r="AB490">
            <v>1</v>
          </cell>
          <cell r="AD490" t="str">
            <v>無指定</v>
          </cell>
          <cell r="AE490" t="str">
            <v>在</v>
          </cell>
          <cell r="AF490" t="str">
            <v>会計課調達室／政府調達班</v>
          </cell>
          <cell r="AG490" t="str">
            <v>小澤</v>
          </cell>
        </row>
        <row r="491">
          <cell r="A491" t="str">
            <v>民492</v>
          </cell>
          <cell r="B491">
            <v>798</v>
          </cell>
          <cell r="C491" t="str">
            <v>ｶﾌﾞﾔﾏ</v>
          </cell>
          <cell r="E491">
            <v>492</v>
          </cell>
          <cell r="F491" t="str">
            <v>株式会社山田平安堂</v>
          </cell>
          <cell r="G491" t="str">
            <v>東京都渋谷区猿楽町１８－１２</v>
          </cell>
          <cell r="H491" t="str">
            <v>在外公館向け公邸用規格食器の作成</v>
          </cell>
          <cell r="I491" t="str">
            <v>外務省大臣官房会計課長　上月豊久　東京都千代田区霞が関２－２－１</v>
          </cell>
          <cell r="J491">
            <v>38674</v>
          </cell>
          <cell r="K491">
            <v>3354120</v>
          </cell>
          <cell r="L491" t="str">
            <v>本件は、全在外公館統一規格で配備している食器類の発注である。本件食器の「型」は業者が保管して、１個の発注にも備えており、効率性、価格面から考えても他に競争を許さない（会計法第２９条の３第４項）。</v>
          </cell>
          <cell r="M491" t="str">
            <v>見直しの余地があるもの</v>
          </cell>
          <cell r="N491" t="str">
            <v>コスト面を考慮しつつ、競争入札等に移行できるかどうかにつき検討中。</v>
          </cell>
          <cell r="P491" t="str">
            <v>民×</v>
          </cell>
          <cell r="Q491" t="str">
            <v>民</v>
          </cell>
          <cell r="S491" t="str">
            <v>民21①</v>
          </cell>
          <cell r="U491" t="str">
            <v>民</v>
          </cell>
          <cell r="Z491" t="str">
            <v>①</v>
          </cell>
          <cell r="AA491">
            <v>1701285</v>
          </cell>
          <cell r="AB491">
            <v>1</v>
          </cell>
          <cell r="AD491" t="str">
            <v>無指定</v>
          </cell>
          <cell r="AE491" t="str">
            <v>在</v>
          </cell>
          <cell r="AF491" t="str">
            <v>会計課調達室／政府調達班</v>
          </cell>
          <cell r="AG491" t="str">
            <v>小澤</v>
          </cell>
          <cell r="AI491" t="str">
            <v>　企画競争実施中（平成20年7月20日公示、9月中旬決定業者と契約予定）（食器種類別）</v>
          </cell>
        </row>
        <row r="492">
          <cell r="A492" t="str">
            <v>民493</v>
          </cell>
          <cell r="B492">
            <v>799</v>
          </cell>
          <cell r="C492" t="str">
            <v>ｶｶﾞﾐｸﾘｽﾀﾙ</v>
          </cell>
          <cell r="E492">
            <v>493</v>
          </cell>
          <cell r="F492" t="str">
            <v>カガミクリスタル株式会社</v>
          </cell>
          <cell r="G492" t="str">
            <v>茨城県竜ケ崎市向陽台４－５</v>
          </cell>
          <cell r="H492" t="str">
            <v>在外公館向け公邸用規格食器の作成</v>
          </cell>
          <cell r="I492" t="str">
            <v>外務省大臣官房会計課長　上月豊久　東京都千代田区霞が関２－２－１</v>
          </cell>
          <cell r="J492">
            <v>38674</v>
          </cell>
          <cell r="K492">
            <v>3217284</v>
          </cell>
          <cell r="L492" t="str">
            <v>本件は、全在外公館統一規格で配備している食器類の発注である。本件食器の「型」は業者が保管して、１個の発注にも備えており、効率性、価格面から考えても他に競争を許さない（会計法第２９条の３第４項）。</v>
          </cell>
          <cell r="M492" t="str">
            <v>見直しの余地があるもの</v>
          </cell>
          <cell r="N492" t="str">
            <v>コスト面を考慮しつつ、競争入札等に移行できるかどうかにつき検討中。</v>
          </cell>
          <cell r="P492" t="str">
            <v>民×</v>
          </cell>
          <cell r="Q492" t="str">
            <v>民</v>
          </cell>
          <cell r="S492" t="str">
            <v>民21①</v>
          </cell>
          <cell r="U492" t="str">
            <v>民</v>
          </cell>
          <cell r="Z492" t="str">
            <v>①</v>
          </cell>
          <cell r="AA492">
            <v>1701283</v>
          </cell>
          <cell r="AB492">
            <v>1</v>
          </cell>
          <cell r="AD492" t="str">
            <v>無指定</v>
          </cell>
          <cell r="AE492" t="str">
            <v>在</v>
          </cell>
          <cell r="AF492" t="str">
            <v>会計課調達室／政府調達班</v>
          </cell>
          <cell r="AG492" t="str">
            <v>小澤</v>
          </cell>
          <cell r="AI492" t="str">
            <v>　企画競争実施中（平成20年7月20日公示、9月中旬決定業者と契約予定）（食器種類別）</v>
          </cell>
        </row>
        <row r="493">
          <cell r="A493" t="str">
            <v>民494</v>
          </cell>
          <cell r="B493">
            <v>800</v>
          </cell>
          <cell r="C493" t="str">
            <v>ｶﾌﾞﾎﾃﾙｵｰｸﾗ</v>
          </cell>
          <cell r="E493">
            <v>494</v>
          </cell>
          <cell r="F493" t="str">
            <v>株式会社ホテルオークラ東京</v>
          </cell>
          <cell r="G493" t="str">
            <v>東京都港区虎ノ門２－１０－４</v>
          </cell>
          <cell r="H493" t="str">
            <v>中国共産党中央党校訪日団一行歓迎レセプション・ケータリング契約</v>
          </cell>
          <cell r="I493" t="str">
            <v>外務省大臣官房会計課長　上月豊久　東京都千代田区霞が関２－２－１</v>
          </cell>
          <cell r="J493">
            <v>38677</v>
          </cell>
          <cell r="K493">
            <v>1217475</v>
          </cell>
          <cell r="L493" t="str">
            <v>本件ケータリング業務の請負については国公賓等のレセプションにも対応可能な実績を有する業者である必要がある。これまでの実績に基づき数社より見積を招請し、業者を選定したもの（会計法第２９条の３第４項）。</v>
          </cell>
          <cell r="M493" t="str">
            <v>見直しの余地があるもの</v>
          </cell>
          <cell r="N493" t="str">
            <v>競争入札へ移行（１８年度から）</v>
          </cell>
          <cell r="P493" t="str">
            <v>民×</v>
          </cell>
          <cell r="Q493" t="str">
            <v>民</v>
          </cell>
          <cell r="S493" t="str">
            <v>民18①</v>
          </cell>
          <cell r="U493" t="str">
            <v>民</v>
          </cell>
          <cell r="W493" t="str">
            <v>①</v>
          </cell>
          <cell r="AA493">
            <v>1701246</v>
          </cell>
          <cell r="AB493">
            <v>1</v>
          </cell>
          <cell r="AC493" t="str">
            <v>17P157</v>
          </cell>
          <cell r="AD493" t="str">
            <v>無指定</v>
          </cell>
          <cell r="AE493" t="str">
            <v>亜中</v>
          </cell>
          <cell r="AF493" t="str">
            <v>会計課調達室／サービス調達第２班</v>
          </cell>
          <cell r="AG493" t="str">
            <v>小林</v>
          </cell>
        </row>
        <row r="494">
          <cell r="A494" t="str">
            <v>民495</v>
          </cell>
          <cell r="B494">
            <v>801</v>
          </cell>
          <cell r="C494" t="str">
            <v>ｻﾞｲｼｬｶｲｹｲｻﾞｲ</v>
          </cell>
          <cell r="E494">
            <v>495</v>
          </cell>
          <cell r="F494" t="str">
            <v>財団法人社会経済生産性本部</v>
          </cell>
          <cell r="G494" t="str">
            <v>東京都渋谷区渋谷３－１－１</v>
          </cell>
          <cell r="H494" t="str">
            <v>日本センターＯＪＴ研修「機械製造ＯＪＴ」実施委嘱</v>
          </cell>
          <cell r="I494" t="str">
            <v xml:space="preserve">
外務省大臣官房会計課長　上月豊久
東京都千代田区霞が関２－２－１</v>
          </cell>
          <cell r="J494">
            <v>38677</v>
          </cell>
          <cell r="K494">
            <v>12252400</v>
          </cell>
          <cell r="L49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94" t="str">
            <v>見直しの余地があるもの</v>
          </cell>
          <cell r="N494" t="str">
            <v>企画招請を実施（１８年度以降も引き続き実施）</v>
          </cell>
          <cell r="P494" t="str">
            <v>民○</v>
          </cell>
          <cell r="Q494" t="str">
            <v>民</v>
          </cell>
          <cell r="R494" t="str">
            <v>○</v>
          </cell>
          <cell r="S494" t="str">
            <v>民18②</v>
          </cell>
          <cell r="U494" t="str">
            <v>民</v>
          </cell>
          <cell r="W494" t="str">
            <v>②</v>
          </cell>
          <cell r="AA494">
            <v>1701151</v>
          </cell>
          <cell r="AB494">
            <v>1</v>
          </cell>
          <cell r="AC494" t="str">
            <v>17G708</v>
          </cell>
          <cell r="AD494" t="str">
            <v>無指定</v>
          </cell>
          <cell r="AE494" t="str">
            <v>欧支</v>
          </cell>
          <cell r="AF494" t="str">
            <v>会計課調達室／サービス調達第１班</v>
          </cell>
          <cell r="AG494" t="str">
            <v>村松</v>
          </cell>
        </row>
        <row r="495">
          <cell r="A495" t="str">
            <v>民496</v>
          </cell>
          <cell r="B495">
            <v>802</v>
          </cell>
          <cell r="C495" t="str">
            <v>ﾛｲﾔﾙﾊﾟｰｸ</v>
          </cell>
          <cell r="E495">
            <v>496</v>
          </cell>
          <cell r="F495" t="str">
            <v>ロイヤルパークホテル</v>
          </cell>
          <cell r="G495" t="str">
            <v>東京都中央区日本橋蠣殻町２－１－１</v>
          </cell>
          <cell r="H495" t="str">
            <v>国家行政学院代表団歓迎夕食会・ケータリング契約</v>
          </cell>
          <cell r="I495" t="str">
            <v>外務省大臣官房会計課長　上月豊久　東京都千代田区霞が関２－２－１</v>
          </cell>
          <cell r="J495">
            <v>38681</v>
          </cell>
          <cell r="K495">
            <v>1089480</v>
          </cell>
          <cell r="L495" t="str">
            <v>この種ケータリング業務を履行可能な業者数社より見積招請を行ったところ、当日請負可能なのは同社のみであったことから随意契約を行った（会計法第２９条の３第４項）。</v>
          </cell>
          <cell r="M495" t="str">
            <v>見直しの余地があるもの</v>
          </cell>
          <cell r="N495" t="str">
            <v>競争入札へ移行（１８年度から）</v>
          </cell>
          <cell r="P495" t="str">
            <v>民×</v>
          </cell>
          <cell r="Q495" t="str">
            <v>民</v>
          </cell>
          <cell r="S495" t="str">
            <v>民18①</v>
          </cell>
          <cell r="U495" t="str">
            <v>民</v>
          </cell>
          <cell r="W495" t="str">
            <v>①</v>
          </cell>
          <cell r="AA495">
            <v>1701393</v>
          </cell>
          <cell r="AB495">
            <v>1</v>
          </cell>
          <cell r="AC495" t="str">
            <v>17P163</v>
          </cell>
          <cell r="AD495" t="str">
            <v>無指定</v>
          </cell>
          <cell r="AE495" t="str">
            <v>亜中</v>
          </cell>
          <cell r="AF495" t="str">
            <v>会計課調達室／サービス調達第２班</v>
          </cell>
          <cell r="AG495" t="str">
            <v>高出</v>
          </cell>
        </row>
        <row r="496">
          <cell r="A496" t="str">
            <v>民497</v>
          </cell>
          <cell r="B496">
            <v>803</v>
          </cell>
          <cell r="C496" t="str">
            <v>ｻﾞｲｱﾈｯﾀｲｿｳｺﾞｳ</v>
          </cell>
          <cell r="E496">
            <v>497</v>
          </cell>
          <cell r="F496" t="str">
            <v>財団法人亜熱帯総合研究所</v>
          </cell>
          <cell r="G496" t="str">
            <v>沖縄県那覇市旭町１</v>
          </cell>
          <cell r="H496" t="str">
            <v>「沖縄ハワイ協力事業事前調査」業務委嘱</v>
          </cell>
          <cell r="I496" t="str">
            <v xml:space="preserve">
外務省大臣官房会計課長　上月豊久
東京都千代田区霞が関２－２－１</v>
          </cell>
          <cell r="J496">
            <v>38681</v>
          </cell>
          <cell r="K496">
            <v>5120661</v>
          </cell>
          <cell r="L496" t="str">
            <v>沖縄県と共催する国際シンポジウムにおける議論に資するための調査である。契約目的を履行可能なノウハウを持ち、日本、ハワイ、太平洋島嶼国の機関と強力な連携関係を有する同機関を契約相手先とすることは沖縄県と協議の上決定したものであり、他に競争を許さない（会計法第２９条の３第４項）。</v>
          </cell>
          <cell r="M496" t="str">
            <v>見直しの余地があるもの</v>
          </cell>
          <cell r="N496" t="str">
            <v>18年度において当該事務・事業の委託を行わないもの</v>
          </cell>
          <cell r="P496" t="str">
            <v>民×</v>
          </cell>
          <cell r="Q496" t="str">
            <v>民</v>
          </cell>
          <cell r="S496" t="str">
            <v>民18×</v>
          </cell>
          <cell r="U496" t="str">
            <v>民</v>
          </cell>
          <cell r="W496" t="str">
            <v>×</v>
          </cell>
          <cell r="AA496">
            <v>1701215</v>
          </cell>
          <cell r="AB496">
            <v>1</v>
          </cell>
          <cell r="AC496" t="str">
            <v>17G887</v>
          </cell>
          <cell r="AD496" t="str">
            <v>無指定</v>
          </cell>
          <cell r="AE496" t="str">
            <v>亜洋</v>
          </cell>
          <cell r="AF496" t="str">
            <v>会計課調達室／サービス調達第１班</v>
          </cell>
          <cell r="AG496" t="str">
            <v>村松</v>
          </cell>
        </row>
        <row r="497">
          <cell r="A497" t="str">
            <v>民498</v>
          </cell>
          <cell r="B497">
            <v>804</v>
          </cell>
          <cell r="C497" t="str">
            <v>ｶﾌﾞｼﾞｼﾞﾂｳｼﾝ</v>
          </cell>
          <cell r="E497">
            <v>498</v>
          </cell>
          <cell r="F497" t="str">
            <v>株式会社時事通信社</v>
          </cell>
          <cell r="G497" t="str">
            <v>東京都中央区銀座５－１５－８</v>
          </cell>
          <cell r="H497" t="str">
            <v>「ロシアにおける日本センター事業パンフレット」作成</v>
          </cell>
          <cell r="I497" t="str">
            <v xml:space="preserve">
外務省大臣官房会計課長　上月豊久
東京都千代田区霞が関２－２－１</v>
          </cell>
          <cell r="J497">
            <v>38681</v>
          </cell>
          <cell r="K497">
            <v>1494990</v>
          </cell>
          <cell r="L497"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97" t="str">
            <v>見直しの余地があるもの</v>
          </cell>
          <cell r="N497" t="str">
            <v>１８年度においては当該事務・事業の委託等を行う予定のないもの</v>
          </cell>
          <cell r="P497" t="str">
            <v>民○</v>
          </cell>
          <cell r="Q497" t="str">
            <v>民</v>
          </cell>
          <cell r="R497" t="str">
            <v>○</v>
          </cell>
          <cell r="S497" t="str">
            <v>民18×</v>
          </cell>
          <cell r="U497" t="str">
            <v>民</v>
          </cell>
          <cell r="W497" t="str">
            <v>×</v>
          </cell>
          <cell r="AA497">
            <v>1701216</v>
          </cell>
          <cell r="AB497">
            <v>1</v>
          </cell>
          <cell r="AC497" t="str">
            <v>17G899</v>
          </cell>
          <cell r="AD497" t="str">
            <v>無指定</v>
          </cell>
          <cell r="AE497" t="str">
            <v>欧支</v>
          </cell>
          <cell r="AF497" t="str">
            <v>会計課調達室／サービス調達第１班</v>
          </cell>
          <cell r="AG497" t="str">
            <v>村松</v>
          </cell>
        </row>
        <row r="498">
          <cell r="A498" t="str">
            <v>民499</v>
          </cell>
          <cell r="B498">
            <v>805</v>
          </cell>
          <cell r="C498" t="str">
            <v>ｶﾌﾞﾊﾟﾚ</v>
          </cell>
          <cell r="E498">
            <v>499</v>
          </cell>
          <cell r="F498" t="str">
            <v>株式会社パレスホテル</v>
          </cell>
          <cell r="G498" t="str">
            <v>東京都千代田区丸の内１－１－１</v>
          </cell>
          <cell r="H498" t="str">
            <v>国賓接遇（宿舎契約）</v>
          </cell>
          <cell r="I498" t="str">
            <v>外務省大臣官房会計課長　上月豊久　東京都千代田区霞が関２－２－１</v>
          </cell>
          <cell r="J498">
            <v>38681</v>
          </cell>
          <cell r="K498">
            <v>1780800</v>
          </cell>
          <cell r="L498" t="str">
            <v>滞在中の行事、用務等日程の都合、立地条件、また賓客の希望やホテル側の受け入れ態勢などを総合的に判断し委嘱したものであり、他に競争を許さない（会計法第２９条の３第４項）。</v>
          </cell>
          <cell r="M498" t="str">
            <v>その他のもの</v>
          </cell>
          <cell r="N498" t="str">
            <v>随意契約によらざるを得ないもの</v>
          </cell>
          <cell r="P498" t="str">
            <v>民×</v>
          </cell>
          <cell r="Q498" t="str">
            <v>民</v>
          </cell>
          <cell r="S498" t="str">
            <v>民1</v>
          </cell>
          <cell r="U498" t="str">
            <v>民</v>
          </cell>
          <cell r="V498" t="str">
            <v>●</v>
          </cell>
          <cell r="AA498">
            <v>1701395</v>
          </cell>
          <cell r="AB498">
            <v>1</v>
          </cell>
          <cell r="AC498" t="str">
            <v>17J220</v>
          </cell>
          <cell r="AD498" t="str">
            <v>無指定</v>
          </cell>
          <cell r="AE498" t="str">
            <v>儀</v>
          </cell>
          <cell r="AF498" t="str">
            <v>会計課調達室／サービス調達第２班</v>
          </cell>
          <cell r="AG498" t="str">
            <v>高出</v>
          </cell>
        </row>
        <row r="499">
          <cell r="A499" t="str">
            <v>民500</v>
          </cell>
          <cell r="B499">
            <v>806</v>
          </cell>
          <cell r="C499" t="str">
            <v>ｶﾌﾞﾐﾂ</v>
          </cell>
          <cell r="E499">
            <v>500</v>
          </cell>
          <cell r="F499" t="str">
            <v>株式会社三菱総合研究所</v>
          </cell>
          <cell r="G499" t="str">
            <v>東京都千代田区大手町２－３－６</v>
          </cell>
          <cell r="H499" t="str">
            <v>「無償資金協力によるＣＤＭプロジェクト実施に関する調査」業務委嘱</v>
          </cell>
          <cell r="I499" t="str">
            <v>外務省大臣官房会計課長　上月豊久　東京都千代田区霞が関２－２－１</v>
          </cell>
          <cell r="J499">
            <v>38681</v>
          </cell>
          <cell r="K499">
            <v>3615265</v>
          </cell>
          <cell r="L49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499" t="str">
            <v>見直しの余地があるもの</v>
          </cell>
          <cell r="N499" t="str">
            <v>企画招請を実施（１８年度以降も引き続き実施）</v>
          </cell>
          <cell r="P499" t="str">
            <v>民○</v>
          </cell>
          <cell r="Q499" t="str">
            <v>民</v>
          </cell>
          <cell r="R499" t="str">
            <v>○</v>
          </cell>
          <cell r="S499" t="str">
            <v>民18②</v>
          </cell>
          <cell r="U499" t="str">
            <v>民</v>
          </cell>
          <cell r="W499" t="str">
            <v>②</v>
          </cell>
          <cell r="AA499">
            <v>1701217</v>
          </cell>
          <cell r="AB499">
            <v>1</v>
          </cell>
          <cell r="AC499" t="str">
            <v>17G906</v>
          </cell>
          <cell r="AD499" t="str">
            <v>無指定</v>
          </cell>
          <cell r="AE499" t="str">
            <v>国気候</v>
          </cell>
          <cell r="AF499" t="str">
            <v>会計課調達室／サービス調達第１班</v>
          </cell>
          <cell r="AG499" t="str">
            <v>村松</v>
          </cell>
        </row>
        <row r="500">
          <cell r="A500" t="str">
            <v>民501</v>
          </cell>
          <cell r="B500">
            <v>807</v>
          </cell>
          <cell r="C500" t="str">
            <v>ﾋﾟｰﾀﾞﾌﾞﾙｼｰ</v>
          </cell>
          <cell r="E500">
            <v>501</v>
          </cell>
          <cell r="F500" t="str">
            <v>PwCアドバイザリー株式会社</v>
          </cell>
          <cell r="G500" t="str">
            <v>東京都千代田区丸の内１－６－６</v>
          </cell>
          <cell r="H500" t="str">
            <v>「在外公館施設整備ＰＦＩ実施ガイドライン案策定調査」業務委嘱</v>
          </cell>
          <cell r="I500" t="str">
            <v>外務省大臣官房会計課長　上月豊久　東京都千代田区霞が関２－２－１</v>
          </cell>
          <cell r="J500">
            <v>38684</v>
          </cell>
          <cell r="K500">
            <v>19425000</v>
          </cell>
          <cell r="L500"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00" t="str">
            <v>見直しの余地があるもの</v>
          </cell>
          <cell r="N500" t="str">
            <v>１８年度以降において当該事務・事業の委託等を行う予定のないもの</v>
          </cell>
          <cell r="P500" t="str">
            <v>民○</v>
          </cell>
          <cell r="Q500" t="str">
            <v>民</v>
          </cell>
          <cell r="R500" t="str">
            <v>○</v>
          </cell>
          <cell r="S500" t="str">
            <v>民18×</v>
          </cell>
          <cell r="U500" t="str">
            <v>民</v>
          </cell>
          <cell r="W500" t="str">
            <v>×</v>
          </cell>
          <cell r="AA500">
            <v>1701376</v>
          </cell>
          <cell r="AB500">
            <v>1</v>
          </cell>
          <cell r="AD500" t="str">
            <v>取扱注意</v>
          </cell>
          <cell r="AE500" t="str">
            <v>在</v>
          </cell>
          <cell r="AF500" t="str">
            <v>会計課調達室／政府調達班</v>
          </cell>
          <cell r="AG500" t="str">
            <v>田中</v>
          </cell>
        </row>
        <row r="501">
          <cell r="A501" t="str">
            <v>民502</v>
          </cell>
          <cell r="B501">
            <v>808</v>
          </cell>
          <cell r="C501" t="str">
            <v>ｶﾌﾞﾉﾑﾗ</v>
          </cell>
          <cell r="E501">
            <v>502</v>
          </cell>
          <cell r="F501" t="str">
            <v>株式会社野村総合研究所</v>
          </cell>
          <cell r="G501" t="str">
            <v>東京都千代田区丸の内１－６－５</v>
          </cell>
          <cell r="H501" t="str">
            <v>領事事務のシステム最適化（効率化）計画策定支援業務</v>
          </cell>
          <cell r="I501" t="str">
            <v xml:space="preserve">
外務省大臣官房会計課長　上月豊久
東京都千代田区霞が関２－２－１</v>
          </cell>
          <cell r="J501">
            <v>38684</v>
          </cell>
          <cell r="K501">
            <v>76152657</v>
          </cell>
          <cell r="L501" t="str">
            <v>公示の上、資料提供企画招請を行い、提出された企画書審査等を通じ企画内容・見積額等により判断し、同社が最も高い評価を得て確実な業務の履行が可能であると認められたもの（会計法第２９条の３第４項、特定政令に該当）</v>
          </cell>
          <cell r="M501" t="str">
            <v>見直しの余地があるもの</v>
          </cell>
          <cell r="N501" t="str">
            <v>企画招請を検討（次世代の最適化計画策定の際には実施を検討）</v>
          </cell>
          <cell r="P501" t="str">
            <v>民○</v>
          </cell>
          <cell r="Q501" t="str">
            <v>民</v>
          </cell>
          <cell r="R501" t="str">
            <v>○</v>
          </cell>
          <cell r="S501" t="str">
            <v>民19②</v>
          </cell>
          <cell r="U501" t="str">
            <v>民</v>
          </cell>
          <cell r="X501" t="str">
            <v>②</v>
          </cell>
          <cell r="AA501">
            <v>1701072</v>
          </cell>
          <cell r="AB501">
            <v>1</v>
          </cell>
          <cell r="AC501" t="str">
            <v>17W438</v>
          </cell>
          <cell r="AD501" t="str">
            <v xml:space="preserve"> </v>
          </cell>
          <cell r="AE501" t="str">
            <v>官情</v>
          </cell>
          <cell r="AF501" t="str">
            <v>会計課調達室／サービス調達第３班</v>
          </cell>
          <cell r="AG501" t="str">
            <v>川上</v>
          </cell>
        </row>
        <row r="502">
          <cell r="A502" t="str">
            <v>民503</v>
          </cell>
          <cell r="B502">
            <v>809</v>
          </cell>
          <cell r="C502" t="str">
            <v>ｶﾌﾞﾕｰｴﾌｼﾞｪｰ</v>
          </cell>
          <cell r="E502">
            <v>503</v>
          </cell>
          <cell r="F502" t="str">
            <v>株式会社ＵＦＪ総合研究所</v>
          </cell>
          <cell r="G502" t="str">
            <v>東京都港区新橋１－１１－７</v>
          </cell>
          <cell r="H502" t="str">
            <v>「円借款のニーズに関する調査」業務委嘱</v>
          </cell>
          <cell r="I502" t="str">
            <v>外務省大臣官房会計課長　上月豊久　東京都千代田区霞が関２－２－１</v>
          </cell>
          <cell r="J502">
            <v>38685</v>
          </cell>
          <cell r="K502">
            <v>8779219</v>
          </cell>
          <cell r="L502"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02" t="str">
            <v>見直しの余地があるもの</v>
          </cell>
          <cell r="N502" t="str">
            <v>企画招請を実施（１８年度以降も引き続き実施）</v>
          </cell>
          <cell r="P502" t="str">
            <v>民○</v>
          </cell>
          <cell r="Q502" t="str">
            <v>民</v>
          </cell>
          <cell r="R502" t="str">
            <v>○</v>
          </cell>
          <cell r="S502" t="str">
            <v>民18②</v>
          </cell>
          <cell r="U502" t="str">
            <v>民</v>
          </cell>
          <cell r="W502" t="str">
            <v>②</v>
          </cell>
          <cell r="AA502">
            <v>1701218</v>
          </cell>
          <cell r="AB502">
            <v>1</v>
          </cell>
          <cell r="AC502" t="str">
            <v>17M298</v>
          </cell>
          <cell r="AD502" t="str">
            <v>無指定</v>
          </cell>
          <cell r="AE502" t="str">
            <v>経協有償</v>
          </cell>
          <cell r="AF502" t="str">
            <v>会計課調達室／サービス調達第１班</v>
          </cell>
          <cell r="AG502" t="str">
            <v>村松</v>
          </cell>
        </row>
        <row r="503">
          <cell r="A503" t="str">
            <v>民504</v>
          </cell>
          <cell r="B503">
            <v>810</v>
          </cell>
          <cell r="C503" t="str">
            <v>ﾆｯﾁｭｳｺﾐｭﾆ</v>
          </cell>
          <cell r="E503">
            <v>504</v>
          </cell>
          <cell r="F503" t="str">
            <v>日中コミュニケーション研究会</v>
          </cell>
          <cell r="G503" t="str">
            <v>東京都新宿区高田馬場３－３３－４</v>
          </cell>
          <cell r="H503" t="str">
            <v>「日中知的交流支援事業」中国雑誌「経済」主筆一行の招聘契約</v>
          </cell>
          <cell r="I503" t="str">
            <v>外務省大臣官房会計課長　上月豊久　東京都千代田区霞が関２－２－１</v>
          </cell>
          <cell r="J503">
            <v>38686</v>
          </cell>
          <cell r="K503">
            <v>3158534</v>
          </cell>
          <cell r="L503"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03" t="str">
            <v>見直しの余地があるもの</v>
          </cell>
          <cell r="N503" t="str">
            <v>企画招請を実施（１８年度以降も引き続き実施）</v>
          </cell>
          <cell r="P503" t="str">
            <v>民○</v>
          </cell>
          <cell r="Q503" t="str">
            <v>民</v>
          </cell>
          <cell r="R503" t="str">
            <v>○</v>
          </cell>
          <cell r="S503" t="str">
            <v>民18②</v>
          </cell>
          <cell r="U503" t="str">
            <v>民</v>
          </cell>
          <cell r="W503" t="str">
            <v>②</v>
          </cell>
          <cell r="AA503">
            <v>1701382</v>
          </cell>
          <cell r="AB503">
            <v>1</v>
          </cell>
          <cell r="AC503" t="str">
            <v>17F222</v>
          </cell>
          <cell r="AD503" t="str">
            <v>無指定</v>
          </cell>
          <cell r="AE503" t="str">
            <v>亜中</v>
          </cell>
          <cell r="AF503" t="str">
            <v>会計課調達室／サービス調達第２班</v>
          </cell>
          <cell r="AG503" t="str">
            <v>荒井</v>
          </cell>
        </row>
        <row r="504">
          <cell r="A504" t="str">
            <v>民505</v>
          </cell>
          <cell r="B504">
            <v>811</v>
          </cell>
          <cell r="C504" t="str">
            <v>ｱﾌｱﾀｲﾍｲﾖｳ</v>
          </cell>
          <cell r="E504">
            <v>505</v>
          </cell>
          <cell r="F504" t="str">
            <v>アジア太平洋フォーラム</v>
          </cell>
          <cell r="G504" t="str">
            <v>東京都千代田区九段南３－９－４</v>
          </cell>
          <cell r="H504" t="str">
            <v>日中知的交流支援事業「上海社会科学院中心主任一行」招聘契約</v>
          </cell>
          <cell r="I504" t="str">
            <v>外務省大臣官房会計課長　上月豊久　東京都千代田区霞が関２－２－１</v>
          </cell>
          <cell r="J504">
            <v>38688</v>
          </cell>
          <cell r="K504">
            <v>2783314</v>
          </cell>
          <cell r="L50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04" t="str">
            <v>見直しの余地があるもの</v>
          </cell>
          <cell r="N504" t="str">
            <v>企画招請を実施（１８年度以降も引き続き実施）</v>
          </cell>
          <cell r="P504" t="str">
            <v>民○</v>
          </cell>
          <cell r="Q504" t="str">
            <v>民</v>
          </cell>
          <cell r="R504" t="str">
            <v>○</v>
          </cell>
          <cell r="S504" t="str">
            <v>民18②</v>
          </cell>
          <cell r="U504" t="str">
            <v>民</v>
          </cell>
          <cell r="W504" t="str">
            <v>②</v>
          </cell>
          <cell r="AA504">
            <v>1701383</v>
          </cell>
          <cell r="AB504">
            <v>1</v>
          </cell>
          <cell r="AC504" t="str">
            <v>17F230</v>
          </cell>
          <cell r="AD504" t="str">
            <v>無指定</v>
          </cell>
          <cell r="AE504" t="str">
            <v>亜中</v>
          </cell>
          <cell r="AF504" t="str">
            <v>会計課調達室／サービス調達第２班</v>
          </cell>
          <cell r="AG504" t="str">
            <v>荒井</v>
          </cell>
        </row>
        <row r="505">
          <cell r="A505" t="str">
            <v>民506</v>
          </cell>
          <cell r="B505">
            <v>812</v>
          </cell>
          <cell r="C505" t="str">
            <v>ｶﾌﾞﾐﾂﾋﾞｼｿｳｺﾞｳ</v>
          </cell>
          <cell r="E505">
            <v>506</v>
          </cell>
          <cell r="F505" t="str">
            <v>株式会社三菱総合研究所</v>
          </cell>
          <cell r="G505" t="str">
            <v>東京都千代田区大手町２－３－６</v>
          </cell>
          <cell r="H505" t="str">
            <v>「アジア諸国の宇宙活動調査」業務委嘱</v>
          </cell>
          <cell r="I505" t="str">
            <v>外務省大臣官房会計課長　上月豊久　東京都千代田区霞が関２－２－１</v>
          </cell>
          <cell r="J505">
            <v>38691</v>
          </cell>
          <cell r="K505">
            <v>2999850</v>
          </cell>
          <cell r="L505"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05" t="str">
            <v>見直しの余地があるもの</v>
          </cell>
          <cell r="N505" t="str">
            <v>１８年度以降において当該事務・事業の委託等を行う予定のないもの</v>
          </cell>
          <cell r="P505" t="str">
            <v>民○</v>
          </cell>
          <cell r="Q505" t="str">
            <v>民</v>
          </cell>
          <cell r="R505" t="str">
            <v>○</v>
          </cell>
          <cell r="S505" t="str">
            <v>民18×</v>
          </cell>
          <cell r="U505" t="str">
            <v>民</v>
          </cell>
          <cell r="W505" t="str">
            <v>×</v>
          </cell>
          <cell r="AA505">
            <v>1701287</v>
          </cell>
          <cell r="AB505">
            <v>1</v>
          </cell>
          <cell r="AC505" t="str">
            <v>17G917</v>
          </cell>
          <cell r="AD505" t="str">
            <v>取扱注意</v>
          </cell>
          <cell r="AE505" t="str">
            <v>軍科協</v>
          </cell>
          <cell r="AF505" t="str">
            <v>会計課調達室／サービス調達第１班</v>
          </cell>
          <cell r="AG505" t="str">
            <v>村松</v>
          </cell>
        </row>
        <row r="506">
          <cell r="A506" t="str">
            <v>民507</v>
          </cell>
          <cell r="B506">
            <v>813</v>
          </cell>
          <cell r="C506" t="str">
            <v>ｻﾞｲｴﾇｴﾁｹｲｲﾝﾀｰ</v>
          </cell>
          <cell r="E506">
            <v>507</v>
          </cell>
          <cell r="F506" t="str">
            <v>財団法人　ＮＨＫインターナショナル</v>
          </cell>
          <cell r="G506" t="str">
            <v>東京都渋谷区宇田川町７－１３</v>
          </cell>
          <cell r="H506" t="str">
            <v>一般広報用資料「Ｊａｐａｎ　Ｖｉｄｅｏ　Ｅｎｃｙｃｌｏｐｅｄｉａ　－２００５ｅｄｉｔｉｏｎ－」語版改訂費及びテープ複製費</v>
          </cell>
          <cell r="I506" t="str">
            <v>外務省大臣官房会計課長　上月豊久　東京都千代田区霞が関２－２－１</v>
          </cell>
          <cell r="J506">
            <v>38692</v>
          </cell>
          <cell r="K506">
            <v>21696756</v>
          </cell>
          <cell r="L506" t="str">
            <v>１６年度に企画招請の結果制作された広報ビデオの他言語版を作成するものであり、著作権を有する同社以外に契約を行いうる業者は存在しない（会計法第２９条の３第４項、特定政令に該当）。</v>
          </cell>
          <cell r="M506" t="str">
            <v>見直しの余地があるもの</v>
          </cell>
          <cell r="N506" t="str">
            <v>１８年度において当該事務・事業の委託を行う予定なし</v>
          </cell>
          <cell r="P506" t="str">
            <v>民×</v>
          </cell>
          <cell r="Q506" t="str">
            <v>民</v>
          </cell>
          <cell r="S506" t="str">
            <v>民18×</v>
          </cell>
          <cell r="U506" t="str">
            <v>民</v>
          </cell>
          <cell r="W506" t="str">
            <v>×</v>
          </cell>
          <cell r="AA506">
            <v>1701176</v>
          </cell>
          <cell r="AB506">
            <v>1</v>
          </cell>
          <cell r="AC506" t="str">
            <v>17X357</v>
          </cell>
          <cell r="AD506" t="str">
            <v>無指定</v>
          </cell>
          <cell r="AE506" t="str">
            <v>広文総</v>
          </cell>
          <cell r="AF506" t="str">
            <v>会計課調達室／サービス調達第１班</v>
          </cell>
          <cell r="AG506" t="str">
            <v>村松</v>
          </cell>
        </row>
        <row r="507">
          <cell r="A507" t="str">
            <v>民508</v>
          </cell>
          <cell r="B507">
            <v>814</v>
          </cell>
          <cell r="C507" t="str">
            <v>ｻﾞｲﾆﾎﾝｹｲｻﾞｲ</v>
          </cell>
          <cell r="E507">
            <v>508</v>
          </cell>
          <cell r="F507" t="str">
            <v>財団法人日本経済研究所</v>
          </cell>
          <cell r="G507" t="str">
            <v>東京都千代田区神田駿河台３－３－４</v>
          </cell>
          <cell r="H507" t="str">
            <v>「民間資金等活用（ＰＦＩ）による在外公館整備等事業」実施状況監視（サーベイランス）協力業務委嘱</v>
          </cell>
          <cell r="I507" t="str">
            <v>外務省大臣官房会計課長　上月豊久　東京都千代田区霞が関２－２－１</v>
          </cell>
          <cell r="J507">
            <v>38692</v>
          </cell>
          <cell r="K507">
            <v>13754916</v>
          </cell>
          <cell r="L507" t="str">
            <v>平成１４年度にプロポーザル審査により本件ＰＦＩ事業のコンサルタントとして選定された同研究所に、関連業務を委嘱するものである。事業内容を熟知しており、ノウハウの活用と言う面から考えてもPFIコンサルタント委嘱期間中においては同研究所へ委嘱することがが最も効率的であり、他に競争を許さない（会計法第２９条の３第４項）。</v>
          </cell>
          <cell r="M507" t="str">
            <v>見直しの余地があるもの</v>
          </cell>
          <cell r="N507" t="str">
            <v>企画招請または競争入札へ移行（平成２０年度以降実施予定）</v>
          </cell>
          <cell r="P507" t="str">
            <v>民×</v>
          </cell>
          <cell r="Q507" t="str">
            <v>民</v>
          </cell>
          <cell r="S507" t="str">
            <v>民20②</v>
          </cell>
          <cell r="U507" t="str">
            <v>民</v>
          </cell>
          <cell r="Y507" t="str">
            <v>①②</v>
          </cell>
          <cell r="AA507">
            <v>1701424</v>
          </cell>
          <cell r="AB507">
            <v>1</v>
          </cell>
          <cell r="AD507" t="str">
            <v>無指定</v>
          </cell>
          <cell r="AE507" t="str">
            <v>在</v>
          </cell>
          <cell r="AF507" t="str">
            <v>会計課調達室／政府調達班</v>
          </cell>
          <cell r="AG507" t="str">
            <v>田中</v>
          </cell>
        </row>
        <row r="508">
          <cell r="A508" t="str">
            <v>民509</v>
          </cell>
          <cell r="B508">
            <v>815</v>
          </cell>
          <cell r="C508" t="str">
            <v>ｷｮｳﾄﾞｳｷｷﾞｮｳ</v>
          </cell>
          <cell r="E508">
            <v>509</v>
          </cell>
          <cell r="F508" t="str">
            <v>共同企業体代表者監査法人トーマツ</v>
          </cell>
          <cell r="G508" t="str">
            <v>東京都千代田区丸の内１－１１－１</v>
          </cell>
          <cell r="H508" t="str">
            <v>「無償資金協力事業契約認証業務監査」業務委嘱</v>
          </cell>
          <cell r="I508" t="str">
            <v>外務省大臣官房会計課長　上月豊久　東京都千代田区霞が関２－２－１</v>
          </cell>
          <cell r="J508">
            <v>38693</v>
          </cell>
          <cell r="K508">
            <v>5929350</v>
          </cell>
          <cell r="L508"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08" t="str">
            <v>見直しの余地があるもの</v>
          </cell>
          <cell r="N508" t="str">
            <v>企画招請を実施（１８年度以降も引き続き実施）</v>
          </cell>
          <cell r="P508" t="str">
            <v>民○</v>
          </cell>
          <cell r="Q508" t="str">
            <v>民</v>
          </cell>
          <cell r="R508" t="str">
            <v>○</v>
          </cell>
          <cell r="S508" t="str">
            <v>民18②</v>
          </cell>
          <cell r="U508" t="str">
            <v>民</v>
          </cell>
          <cell r="W508" t="str">
            <v>②</v>
          </cell>
          <cell r="AA508">
            <v>1701314</v>
          </cell>
          <cell r="AB508">
            <v>1</v>
          </cell>
          <cell r="AC508" t="str">
            <v>17G936</v>
          </cell>
          <cell r="AD508" t="str">
            <v>無指定</v>
          </cell>
          <cell r="AE508" t="str">
            <v>経協無償</v>
          </cell>
          <cell r="AF508" t="str">
            <v>会計課調達室／サービス調達第１班</v>
          </cell>
          <cell r="AG508" t="str">
            <v>村松</v>
          </cell>
        </row>
        <row r="509">
          <cell r="A509" t="str">
            <v>民510</v>
          </cell>
          <cell r="B509">
            <v>816</v>
          </cell>
          <cell r="C509" t="str">
            <v>ﾐﾂｲ</v>
          </cell>
          <cell r="E509">
            <v>510</v>
          </cell>
          <cell r="F509" t="str">
            <v>三井情報開発株式会社</v>
          </cell>
          <cell r="G509" t="str">
            <v>東京都千代田区麹町３－７－４</v>
          </cell>
          <cell r="H509" t="str">
            <v>「国際開発プログラム評価」業務委嘱</v>
          </cell>
          <cell r="I509" t="str">
            <v>外務省大臣官房会計課長　上月豊久　東京都千代田区霞が関２－２－１</v>
          </cell>
          <cell r="J509">
            <v>38695</v>
          </cell>
          <cell r="K509">
            <v>7948833</v>
          </cell>
          <cell r="L50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09" t="str">
            <v>見直しの余地があるもの</v>
          </cell>
          <cell r="N509" t="str">
            <v>企画招請を実施（１８年度以降も引き続き実施）</v>
          </cell>
          <cell r="P509" t="str">
            <v>民○</v>
          </cell>
          <cell r="Q509" t="str">
            <v>民</v>
          </cell>
          <cell r="R509" t="str">
            <v>○</v>
          </cell>
          <cell r="S509" t="str">
            <v>民19②</v>
          </cell>
          <cell r="U509" t="str">
            <v>民</v>
          </cell>
          <cell r="X509" t="str">
            <v>②</v>
          </cell>
          <cell r="AA509">
            <v>1701419</v>
          </cell>
          <cell r="AB509">
            <v>1</v>
          </cell>
          <cell r="AC509" t="str">
            <v>17G940</v>
          </cell>
          <cell r="AD509" t="str">
            <v xml:space="preserve"> </v>
          </cell>
          <cell r="AE509" t="str">
            <v>経協政</v>
          </cell>
          <cell r="AF509" t="str">
            <v>会計課調達室／サービス調達第１班</v>
          </cell>
          <cell r="AG509" t="str">
            <v>村松</v>
          </cell>
        </row>
        <row r="510">
          <cell r="A510" t="str">
            <v>民511</v>
          </cell>
          <cell r="B510">
            <v>817</v>
          </cell>
          <cell r="C510" t="str">
            <v>ｶﾌﾞｱﾄﾞｰ</v>
          </cell>
          <cell r="E510">
            <v>511</v>
          </cell>
          <cell r="F510" t="str">
            <v>株式会社アトックス</v>
          </cell>
          <cell r="G510" t="str">
            <v>東京都港区虎ノ門３－６－２</v>
          </cell>
          <cell r="H510" t="str">
            <v>「中国遺棄化学兵器問題に関する調査」業務委嘱</v>
          </cell>
          <cell r="I510" t="str">
            <v>外務省大臣官房会計課長　上月豊久　東京都千代田区霞が関２－２－１</v>
          </cell>
          <cell r="J510">
            <v>38702</v>
          </cell>
          <cell r="K510">
            <v>6033048</v>
          </cell>
          <cell r="L510" t="str">
            <v>本件調査を行う上で不可欠な知見は極めて専門的且つ希少なものであり、契約相手先以外に履行できる業者は見あたらず、他に競争を許さない（会計法第２９条の３第４項）。</v>
          </cell>
          <cell r="M510" t="str">
            <v>見直しの余地があるもの</v>
          </cell>
          <cell r="N510" t="str">
            <v>公募実施予定（１９年度から）</v>
          </cell>
          <cell r="P510" t="str">
            <v>民×</v>
          </cell>
          <cell r="Q510" t="str">
            <v>民</v>
          </cell>
          <cell r="S510" t="str">
            <v>民19②</v>
          </cell>
          <cell r="U510" t="str">
            <v>民</v>
          </cell>
          <cell r="X510" t="str">
            <v>②</v>
          </cell>
          <cell r="AA510">
            <v>1701478</v>
          </cell>
          <cell r="AB510">
            <v>1</v>
          </cell>
          <cell r="AC510" t="str">
            <v>17h001</v>
          </cell>
          <cell r="AD510" t="str">
            <v>無指定</v>
          </cell>
          <cell r="AE510" t="str">
            <v>亜中</v>
          </cell>
          <cell r="AF510" t="str">
            <v>会計課調達室／サービス調達第１班</v>
          </cell>
          <cell r="AG510" t="str">
            <v>竹沢</v>
          </cell>
        </row>
        <row r="511">
          <cell r="A511" t="str">
            <v>民512</v>
          </cell>
          <cell r="B511">
            <v>818</v>
          </cell>
          <cell r="C511" t="str">
            <v>ｶﾌﾞﾚｲ</v>
          </cell>
          <cell r="E511">
            <v>512</v>
          </cell>
          <cell r="F511" t="str">
            <v>株式会社レインボーモータースクール</v>
          </cell>
          <cell r="G511" t="str">
            <v>埼玉県比企郡川島町大字出丸下郷５３－１</v>
          </cell>
          <cell r="H511" t="str">
            <v>「在外公館警備対策官研修」実施委嘱</v>
          </cell>
          <cell r="I511" t="str">
            <v>外務省大臣官房会計課長　上月豊久　東京都千代田区霞が関２－２－１</v>
          </cell>
          <cell r="J511">
            <v>38702</v>
          </cell>
          <cell r="K511">
            <v>2178750</v>
          </cell>
          <cell r="L511" t="str">
            <v>本件契約目的を達成するための施設を有し、且つ東京近辺に存在する機関は同社のみであり、他に競争を許さない（会計法第２９条の３第４項）。</v>
          </cell>
          <cell r="M511" t="str">
            <v>見直しの余地があるもの</v>
          </cell>
          <cell r="N511" t="str">
            <v>公募を実施予定(１８年度から）</v>
          </cell>
          <cell r="P511" t="str">
            <v>民×</v>
          </cell>
          <cell r="Q511" t="str">
            <v>民</v>
          </cell>
          <cell r="S511" t="str">
            <v>民18②</v>
          </cell>
          <cell r="U511" t="str">
            <v>民</v>
          </cell>
          <cell r="W511" t="str">
            <v>②</v>
          </cell>
          <cell r="AA511">
            <v>1701468</v>
          </cell>
          <cell r="AB511">
            <v>1</v>
          </cell>
          <cell r="AC511" t="str">
            <v>17g978</v>
          </cell>
          <cell r="AD511" t="str">
            <v>無指定</v>
          </cell>
          <cell r="AE511" t="str">
            <v>外研</v>
          </cell>
          <cell r="AF511" t="str">
            <v>会計課調達室／サービス調達第１班</v>
          </cell>
          <cell r="AG511" t="str">
            <v>竹沢</v>
          </cell>
        </row>
        <row r="512">
          <cell r="A512" t="str">
            <v>民513</v>
          </cell>
          <cell r="B512">
            <v>819</v>
          </cell>
          <cell r="C512" t="str">
            <v>ｾﾝﾁｪﾘｰ</v>
          </cell>
          <cell r="E512">
            <v>513</v>
          </cell>
          <cell r="F512" t="str">
            <v>センチュリー・リーシング・システム株式会社</v>
          </cell>
          <cell r="G512" t="str">
            <v>東京都港区浜松町２―４―１</v>
          </cell>
          <cell r="H512" t="str">
            <v>公信事務自動処理システム賃貸借契約</v>
          </cell>
          <cell r="I512" t="str">
            <v>外務省大臣官房会計課長　上月豊久　東京都千代田区霞が関２－２－１</v>
          </cell>
          <cell r="J512">
            <v>38702</v>
          </cell>
          <cell r="K512">
            <v>2241247</v>
          </cell>
          <cell r="L512" t="str">
            <v>複数年のリース契約終了後、新システム導入までの間引き続きリース契約をおこなったもの。当該契約者以外に履行させることは価格面においても不利になる事から他に競争を許さない（会計法第２９条の３第４項）。</v>
          </cell>
          <cell r="M512" t="str">
            <v>見直しの余地があるもの</v>
          </cell>
          <cell r="N512" t="str">
            <v>競争入札へ移行（１７年度中に入札実施の上、国庫債務負担行為を適用し、複数年度契約を締結済）</v>
          </cell>
          <cell r="P512" t="str">
            <v>民×</v>
          </cell>
          <cell r="Q512" t="str">
            <v>民</v>
          </cell>
          <cell r="S512" t="str">
            <v>民18①</v>
          </cell>
          <cell r="U512" t="str">
            <v>民</v>
          </cell>
          <cell r="W512" t="str">
            <v>①</v>
          </cell>
          <cell r="AA512">
            <v>1701330</v>
          </cell>
          <cell r="AB512">
            <v>1</v>
          </cell>
          <cell r="AC512" t="str">
            <v>17Z692</v>
          </cell>
          <cell r="AD512" t="str">
            <v>無指定</v>
          </cell>
          <cell r="AE512" t="str">
            <v>信</v>
          </cell>
          <cell r="AF512" t="str">
            <v>会計課調達室／サービス調達第３班</v>
          </cell>
          <cell r="AG512" t="str">
            <v>川畑</v>
          </cell>
        </row>
        <row r="513">
          <cell r="A513" t="str">
            <v>民514</v>
          </cell>
          <cell r="B513">
            <v>820</v>
          </cell>
          <cell r="C513" t="str">
            <v>ｴﾇﾃｨﾃｨｰﾗｰﾆﾝｸﾞ</v>
          </cell>
          <cell r="E513">
            <v>514</v>
          </cell>
          <cell r="F513" t="str">
            <v>ＮＴＴラーニングシステムズ株式会社</v>
          </cell>
          <cell r="G513" t="str">
            <v>東京都港区南麻布１－６－１５</v>
          </cell>
          <cell r="H513" t="str">
            <v>ホームページシステム改善業務委嘱</v>
          </cell>
          <cell r="I513" t="str">
            <v xml:space="preserve">
外務省大臣官房会計課長　上月豊久
東京都千代田区霞が関２－２－１</v>
          </cell>
          <cell r="J513">
            <v>38707</v>
          </cell>
          <cell r="K513">
            <v>3072300</v>
          </cell>
          <cell r="L513" t="str">
            <v>外務省ＨＰの運用業務は現在同社が請け負っており、システムの改修・改善は同社のサーバ上の作業であるため他の業者への委嘱はできない（会計法第２９条の３第４項）。</v>
          </cell>
          <cell r="M513" t="str">
            <v>見直しの余地があるもの</v>
          </cell>
          <cell r="N513" t="str">
            <v>１８年度以降において当該事務・事業の委託等を行う予定のないもの</v>
          </cell>
          <cell r="P513" t="str">
            <v>民×</v>
          </cell>
          <cell r="Q513" t="str">
            <v>民</v>
          </cell>
          <cell r="S513" t="str">
            <v>民18×</v>
          </cell>
          <cell r="U513" t="str">
            <v>民</v>
          </cell>
          <cell r="W513" t="str">
            <v>×</v>
          </cell>
          <cell r="AA513">
            <v>1701340</v>
          </cell>
          <cell r="AB513">
            <v>1</v>
          </cell>
          <cell r="AC513" t="str">
            <v>17W541</v>
          </cell>
          <cell r="AD513" t="str">
            <v>無指定</v>
          </cell>
          <cell r="AE513" t="str">
            <v>報内</v>
          </cell>
          <cell r="AF513" t="str">
            <v>会計課調達室／サービス調達第１班</v>
          </cell>
          <cell r="AG513" t="str">
            <v>村松</v>
          </cell>
        </row>
        <row r="514">
          <cell r="A514" t="str">
            <v>民515</v>
          </cell>
          <cell r="B514">
            <v>821</v>
          </cell>
          <cell r="C514" t="str">
            <v>ｶﾌﾞﾕｰｴﾌｼﾞｪｰ</v>
          </cell>
          <cell r="E514">
            <v>515</v>
          </cell>
          <cell r="F514" t="str">
            <v>株式会社ＵＦＪ総合研究所</v>
          </cell>
          <cell r="G514" t="str">
            <v>東京都港区新橋１－１１－７</v>
          </cell>
          <cell r="H514" t="str">
            <v>「円借款のニーズに関する調査」業務委嘱</v>
          </cell>
          <cell r="I514" t="str">
            <v>外務省大臣官房会計課長　上月豊久　東京都千代田区霞が関２－２－１</v>
          </cell>
          <cell r="J514">
            <v>38708</v>
          </cell>
          <cell r="K514">
            <v>3375603</v>
          </cell>
          <cell r="L51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14" t="str">
            <v>見直しの余地があるもの</v>
          </cell>
          <cell r="N514" t="str">
            <v>企画招請を実施（１８年度以降も引き続き実施）</v>
          </cell>
          <cell r="P514" t="str">
            <v>民○</v>
          </cell>
          <cell r="Q514" t="str">
            <v>民</v>
          </cell>
          <cell r="R514" t="str">
            <v>○</v>
          </cell>
          <cell r="S514" t="str">
            <v>民18②</v>
          </cell>
          <cell r="U514" t="str">
            <v>民</v>
          </cell>
          <cell r="W514" t="str">
            <v>②</v>
          </cell>
          <cell r="AA514">
            <v>1701354</v>
          </cell>
          <cell r="AB514">
            <v>1</v>
          </cell>
          <cell r="AC514" t="str">
            <v>17M360</v>
          </cell>
          <cell r="AD514" t="str">
            <v>無指定</v>
          </cell>
          <cell r="AE514" t="str">
            <v>経協有償</v>
          </cell>
          <cell r="AF514" t="str">
            <v>会計課調達室／サービス調達第１班</v>
          </cell>
          <cell r="AG514" t="str">
            <v>村松</v>
          </cell>
        </row>
        <row r="515">
          <cell r="A515" t="str">
            <v>民516</v>
          </cell>
          <cell r="B515">
            <v>822</v>
          </cell>
          <cell r="C515" t="str">
            <v>ｶﾌﾞﾔﾏ</v>
          </cell>
          <cell r="E515">
            <v>516</v>
          </cell>
          <cell r="F515" t="str">
            <v>株式会社山田平安堂</v>
          </cell>
          <cell r="G515" t="str">
            <v>東京都渋谷区猿楽町１８－１２</v>
          </cell>
          <cell r="H515" t="str">
            <v>在外公館向け公邸用規格食器の作成</v>
          </cell>
          <cell r="I515" t="str">
            <v>外務省大臣官房会計課長　上月豊久　東京都千代田区霞が関２－２－１</v>
          </cell>
          <cell r="J515">
            <v>38708</v>
          </cell>
          <cell r="K515">
            <v>3382050</v>
          </cell>
          <cell r="L515" t="str">
            <v>本件は、全在外公館統一規格で配備している食器類の発注である。本件食器の「型」は業者が保管して、１個の発注にも備えており、効率性、価格面から考えても他に競争を許さない（会計法第２９条の３第４項）。</v>
          </cell>
          <cell r="M515" t="str">
            <v>見直しの余地があるもの</v>
          </cell>
          <cell r="N515" t="str">
            <v>コスト面を考慮しつつ、競争入札等に移行できるかどうかにつき検討中。</v>
          </cell>
          <cell r="P515" t="str">
            <v>民×</v>
          </cell>
          <cell r="Q515" t="str">
            <v>民</v>
          </cell>
          <cell r="S515" t="str">
            <v>民21①</v>
          </cell>
          <cell r="U515" t="str">
            <v>民</v>
          </cell>
          <cell r="Z515" t="str">
            <v>①</v>
          </cell>
          <cell r="AA515">
            <v>1701466</v>
          </cell>
          <cell r="AB515">
            <v>1</v>
          </cell>
          <cell r="AD515" t="str">
            <v>無指定</v>
          </cell>
          <cell r="AE515" t="str">
            <v>在</v>
          </cell>
          <cell r="AF515" t="str">
            <v>会計課調達室／政府調達班</v>
          </cell>
          <cell r="AG515" t="str">
            <v>渋谷</v>
          </cell>
        </row>
        <row r="516">
          <cell r="A516" t="str">
            <v>民517</v>
          </cell>
          <cell r="B516">
            <v>823</v>
          </cell>
          <cell r="C516" t="str">
            <v>ﾌｼﾞﾂｳ</v>
          </cell>
          <cell r="E516">
            <v>517</v>
          </cell>
          <cell r="F516" t="str">
            <v>富士通株式会社</v>
          </cell>
          <cell r="G516" t="str">
            <v>東京都港区東新橋１－５－２</v>
          </cell>
          <cell r="H516" t="str">
            <v>「在留届電子届出システム」の在外公館閉館新設対応作業依頼</v>
          </cell>
          <cell r="I516" t="str">
            <v xml:space="preserve">
外務省大臣官房会計課長　上月豊久
東京都千代田区霞が関２－２－１</v>
          </cell>
          <cell r="J516">
            <v>38713</v>
          </cell>
          <cell r="K516">
            <v>1929501</v>
          </cell>
          <cell r="L516" t="str">
            <v>システムの開発業者が、自社製品やカスタマイズされた独自の機器、システムを使用しているため、その改修（データ更新作業）を行えるのは当該業者以外になく、他に競争を許さない（会計法第２９条の３第４項）。</v>
          </cell>
          <cell r="M516" t="str">
            <v>見直しの余地があるもの</v>
          </cell>
          <cell r="N516" t="str">
            <v>１８年度において当該事務・事業の委託等を行う予定のないもの</v>
          </cell>
          <cell r="P516" t="str">
            <v>民×</v>
          </cell>
          <cell r="Q516" t="str">
            <v>民</v>
          </cell>
          <cell r="S516" t="str">
            <v>民18×</v>
          </cell>
          <cell r="U516" t="str">
            <v>民</v>
          </cell>
          <cell r="W516" t="str">
            <v>×</v>
          </cell>
          <cell r="AA516">
            <v>1701481</v>
          </cell>
          <cell r="AB516">
            <v>1</v>
          </cell>
          <cell r="AC516" t="str">
            <v>17W556</v>
          </cell>
          <cell r="AD516" t="str">
            <v>取扱注意</v>
          </cell>
          <cell r="AE516" t="str">
            <v>領政</v>
          </cell>
          <cell r="AF516" t="str">
            <v>会計課調達室／サービス調達第３班</v>
          </cell>
          <cell r="AG516" t="str">
            <v>川上</v>
          </cell>
        </row>
        <row r="517">
          <cell r="A517" t="str">
            <v>民518</v>
          </cell>
          <cell r="B517">
            <v>824</v>
          </cell>
          <cell r="C517" t="str">
            <v>ｻﾝｷｮｸ</v>
          </cell>
          <cell r="E517">
            <v>518</v>
          </cell>
          <cell r="F517" t="str">
            <v>三極委員会</v>
          </cell>
          <cell r="G517" t="str">
            <v>東京都港区南麻布４－９－１７</v>
          </cell>
          <cell r="H517" t="str">
            <v>「ロシアとアジア欧米諸国に係る調査研究」業務委嘱</v>
          </cell>
          <cell r="I517" t="str">
            <v xml:space="preserve">
外務省大臣官房会計課長　上月豊久
東京都千代田区霞が関２－２－１</v>
          </cell>
          <cell r="J517">
            <v>38714</v>
          </cell>
          <cell r="K517">
            <v>1713600</v>
          </cell>
          <cell r="L517" t="str">
            <v>契約目的達成のために必要な知見・ノウハウの蓄積を鑑みれば、本件契約相手先が最も適当であると判断されたことから、他に競争を許さない（会計法第２９条の３第４項）。</v>
          </cell>
          <cell r="M517" t="str">
            <v>見直しの余地があるもの</v>
          </cell>
          <cell r="N517" t="str">
            <v>企画招請への移行を検討（平成１９年度より）</v>
          </cell>
          <cell r="P517" t="str">
            <v>民×</v>
          </cell>
          <cell r="Q517" t="str">
            <v>民</v>
          </cell>
          <cell r="S517" t="str">
            <v>民19②</v>
          </cell>
          <cell r="U517" t="str">
            <v>民</v>
          </cell>
          <cell r="X517" t="str">
            <v>②</v>
          </cell>
          <cell r="AA517">
            <v>1701480</v>
          </cell>
          <cell r="AB517">
            <v>1</v>
          </cell>
          <cell r="AC517" t="str">
            <v>17h013</v>
          </cell>
          <cell r="AD517" t="str">
            <v>無指定</v>
          </cell>
          <cell r="AE517" t="str">
            <v>総企</v>
          </cell>
          <cell r="AF517" t="str">
            <v>会計課調達室／サービス調達第１班</v>
          </cell>
          <cell r="AG517" t="str">
            <v>竹沢</v>
          </cell>
        </row>
        <row r="518">
          <cell r="A518" t="str">
            <v>民519</v>
          </cell>
          <cell r="B518">
            <v>825</v>
          </cell>
          <cell r="C518" t="str">
            <v>ｶﾌﾞｹﾝｳｯﾄﾞ</v>
          </cell>
          <cell r="E518">
            <v>519</v>
          </cell>
          <cell r="F518" t="str">
            <v>（株）ケンウッド</v>
          </cell>
          <cell r="G518" t="str">
            <v>神奈川県横浜市緑区白山１－１６－２</v>
          </cell>
          <cell r="H518" t="str">
            <v>在外公館用ＦＭ放送機等無線機の保守・運用指導（１７年度後期）</v>
          </cell>
          <cell r="I518" t="str">
            <v xml:space="preserve">
外務省大臣官房会計課長　上月豊久
東京都千代田区霞が関２－２－１</v>
          </cell>
          <cell r="J518">
            <v>38721</v>
          </cell>
          <cell r="K518">
            <v>16780520</v>
          </cell>
          <cell r="L518" t="str">
            <v>毎年一般競争入札を行い導入してきた特注の無線機の保守・運用指導業務であるため、他の業者では行えない業務であり、他に競争を許さない（会計法第２９条の３第４項、特定政令に該当）。</v>
          </cell>
          <cell r="M518" t="str">
            <v>その他のもの</v>
          </cell>
          <cell r="N518" t="str">
            <v>随意契約によらざるを得ないもの</v>
          </cell>
          <cell r="P518" t="str">
            <v>民×</v>
          </cell>
          <cell r="Q518" t="str">
            <v>民</v>
          </cell>
          <cell r="S518" t="str">
            <v>民1</v>
          </cell>
          <cell r="U518" t="str">
            <v>民</v>
          </cell>
          <cell r="V518" t="str">
            <v>●</v>
          </cell>
          <cell r="AA518">
            <v>1701133</v>
          </cell>
          <cell r="AB518">
            <v>1</v>
          </cell>
          <cell r="AD518" t="str">
            <v>取扱注意</v>
          </cell>
          <cell r="AE518" t="str">
            <v>領安</v>
          </cell>
          <cell r="AF518" t="str">
            <v>会計課調達室／サービス調達第１班</v>
          </cell>
          <cell r="AG518" t="str">
            <v>村松</v>
          </cell>
          <cell r="AI518" t="str">
            <v>行政目的を達成するために不可欠な業務を提供することが可能な者から提供を受けるもの</v>
          </cell>
          <cell r="AJ518" t="str">
            <v>ニ（へ）に準ずる</v>
          </cell>
        </row>
        <row r="519">
          <cell r="A519" t="str">
            <v>民520</v>
          </cell>
          <cell r="B519">
            <v>826</v>
          </cell>
          <cell r="C519" t="str">
            <v>ｶﾌﾞｼﾞｪｲﾃｨｰﾋﾞｰ</v>
          </cell>
          <cell r="E519">
            <v>520</v>
          </cell>
          <cell r="F519" t="str">
            <v>株式会社ジェイティービー</v>
          </cell>
          <cell r="G519" t="str">
            <v>東京都千代田区鍛冶町２－１２－５</v>
          </cell>
          <cell r="H519" t="str">
            <v>職員厚生施設借上</v>
          </cell>
          <cell r="I519" t="str">
            <v>外務省大臣官房会計課長　上月豊久　東京都千代田区霞が関２－２－１</v>
          </cell>
          <cell r="J519">
            <v>38730</v>
          </cell>
          <cell r="K519">
            <v>2887500</v>
          </cell>
          <cell r="L51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19" t="str">
            <v>見直しの余地があるもの</v>
          </cell>
          <cell r="N519" t="str">
            <v>企画招請を実施（１８年度以降も引き続き実施）</v>
          </cell>
          <cell r="P519" t="str">
            <v>民○</v>
          </cell>
          <cell r="Q519" t="str">
            <v>民</v>
          </cell>
          <cell r="R519" t="str">
            <v>○</v>
          </cell>
          <cell r="S519" t="str">
            <v>民18②</v>
          </cell>
          <cell r="U519" t="str">
            <v>民</v>
          </cell>
          <cell r="W519" t="str">
            <v>②</v>
          </cell>
          <cell r="AA519">
            <v>1701409</v>
          </cell>
          <cell r="AB519">
            <v>1</v>
          </cell>
          <cell r="AC519" t="str">
            <v>17P264</v>
          </cell>
          <cell r="AD519" t="str">
            <v>無指定</v>
          </cell>
          <cell r="AE519" t="str">
            <v>厚</v>
          </cell>
          <cell r="AF519" t="str">
            <v>会計課調達室／サービス調達第１班</v>
          </cell>
          <cell r="AG519" t="str">
            <v>村松</v>
          </cell>
        </row>
        <row r="520">
          <cell r="A520" t="str">
            <v>民521</v>
          </cell>
          <cell r="B520">
            <v>827</v>
          </cell>
          <cell r="C520" t="str">
            <v>ｶﾌﾞﾌﾞﾝｶｺｳﾎﾞｳ</v>
          </cell>
          <cell r="E520">
            <v>521</v>
          </cell>
          <cell r="F520" t="str">
            <v>株式会社文化工房</v>
          </cell>
          <cell r="G520" t="str">
            <v>東京都港区六本木５－１０－３１</v>
          </cell>
          <cell r="H520" t="str">
            <v>「我が国の小型武器問題への取り組み」パンフレットの作成</v>
          </cell>
          <cell r="I520" t="str">
            <v>外務省大臣官房会計課長　上月豊久　東京都千代田区霞が関２－２－１</v>
          </cell>
          <cell r="J520">
            <v>38730</v>
          </cell>
          <cell r="K520">
            <v>1525499</v>
          </cell>
          <cell r="L520"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20" t="str">
            <v>見直しの余地があるもの</v>
          </cell>
          <cell r="N520" t="str">
            <v>１８年度以降において当該事務・事業の委託を行う予定なし</v>
          </cell>
          <cell r="P520" t="str">
            <v>民○</v>
          </cell>
          <cell r="Q520" t="str">
            <v>民</v>
          </cell>
          <cell r="R520" t="str">
            <v>○</v>
          </cell>
          <cell r="S520" t="str">
            <v>民18×</v>
          </cell>
          <cell r="U520" t="str">
            <v>民</v>
          </cell>
          <cell r="W520" t="str">
            <v>×</v>
          </cell>
          <cell r="AA520">
            <v>1701426</v>
          </cell>
          <cell r="AB520">
            <v>1</v>
          </cell>
          <cell r="AC520" t="str">
            <v>17X344</v>
          </cell>
          <cell r="AD520" t="str">
            <v>無指定</v>
          </cell>
          <cell r="AE520" t="str">
            <v>広文総</v>
          </cell>
          <cell r="AF520" t="str">
            <v>会計課調達室／サービス調達第１班</v>
          </cell>
          <cell r="AG520" t="str">
            <v>村松</v>
          </cell>
        </row>
        <row r="521">
          <cell r="A521" t="str">
            <v>民522</v>
          </cell>
          <cell r="B521">
            <v>828</v>
          </cell>
          <cell r="C521" t="str">
            <v>ﾌｼﾞﾃﾚｺﾑ</v>
          </cell>
          <cell r="E521">
            <v>522</v>
          </cell>
          <cell r="F521" t="str">
            <v>富士テレコム株式会社</v>
          </cell>
          <cell r="G521" t="str">
            <v>東京都板橋区板橋１－５３－２</v>
          </cell>
          <cell r="H521" t="str">
            <v>「国会関連業務支援システムのアプリケーション追加構築」業務委嘱</v>
          </cell>
          <cell r="I521" t="str">
            <v xml:space="preserve">
外務省大臣官房会計課長　上月豊久
東京都千代田区霞が関２－２－１</v>
          </cell>
          <cell r="J521">
            <v>38733</v>
          </cell>
          <cell r="K521">
            <v>5932080</v>
          </cell>
          <cell r="L521"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521" t="str">
            <v>見直しの余地があるもの</v>
          </cell>
          <cell r="N521" t="str">
            <v>１８年度において当該事務・事業の委託等を行う予定のないもの</v>
          </cell>
          <cell r="P521" t="str">
            <v>民×</v>
          </cell>
          <cell r="Q521" t="str">
            <v>民</v>
          </cell>
          <cell r="S521" t="str">
            <v>民18×</v>
          </cell>
          <cell r="U521" t="str">
            <v>民</v>
          </cell>
          <cell r="W521" t="str">
            <v>×</v>
          </cell>
          <cell r="AA521">
            <v>1701427</v>
          </cell>
          <cell r="AB521">
            <v>1</v>
          </cell>
          <cell r="AC521" t="str">
            <v>17W571</v>
          </cell>
          <cell r="AD521" t="str">
            <v>無指定</v>
          </cell>
          <cell r="AE521" t="str">
            <v>総</v>
          </cell>
          <cell r="AF521" t="str">
            <v>会計課調達室／サービス調達第３班</v>
          </cell>
          <cell r="AG521" t="str">
            <v>川畑</v>
          </cell>
        </row>
        <row r="522">
          <cell r="A522" t="str">
            <v>民523</v>
          </cell>
          <cell r="B522">
            <v>829</v>
          </cell>
          <cell r="C522" t="str">
            <v>ｶﾌﾞﾋﾀﾁｾｲｻｸ</v>
          </cell>
          <cell r="E522">
            <v>523</v>
          </cell>
          <cell r="F522" t="str">
            <v>株式会社日立製作所　</v>
          </cell>
          <cell r="G522" t="str">
            <v>東京都千代田区神田駿河台４－６</v>
          </cell>
          <cell r="H522" t="str">
            <v>「無償資金協力データベース・機能拡張作業」業務委嘱</v>
          </cell>
          <cell r="I522" t="str">
            <v>外務省大臣官房会計課長　上月豊久　東京都千代田区霞が関２－２－１</v>
          </cell>
          <cell r="J522">
            <v>38734</v>
          </cell>
          <cell r="K522">
            <v>14280000</v>
          </cell>
          <cell r="L522"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522" t="str">
            <v>見直しの余地があるもの</v>
          </cell>
          <cell r="N522" t="str">
            <v>１８年度において当該事務・事業の委託等を行う予定のないもの</v>
          </cell>
          <cell r="P522" t="str">
            <v>民×</v>
          </cell>
          <cell r="Q522" t="str">
            <v>民</v>
          </cell>
          <cell r="S522" t="str">
            <v>民18×</v>
          </cell>
          <cell r="U522" t="str">
            <v>民</v>
          </cell>
          <cell r="W522" t="str">
            <v>×</v>
          </cell>
          <cell r="AA522">
            <v>1701434</v>
          </cell>
          <cell r="AB522">
            <v>1</v>
          </cell>
          <cell r="AC522" t="str">
            <v>17W575</v>
          </cell>
          <cell r="AD522" t="str">
            <v>無指定</v>
          </cell>
          <cell r="AE522" t="str">
            <v>経協無償</v>
          </cell>
          <cell r="AF522" t="str">
            <v>会計課調達室／サービス調達第３班</v>
          </cell>
          <cell r="AG522" t="str">
            <v>川上</v>
          </cell>
        </row>
        <row r="523">
          <cell r="A523" t="str">
            <v>民524</v>
          </cell>
          <cell r="B523">
            <v>830</v>
          </cell>
          <cell r="C523" t="str">
            <v>ﾐﾂﾋﾞｼ</v>
          </cell>
          <cell r="E523">
            <v>524</v>
          </cell>
          <cell r="F523" t="str">
            <v>三菱ＵＦＪリサーチ＆コンサルティング株式会社</v>
          </cell>
          <cell r="G523" t="str">
            <v>東京都港区新橋１－１１－７</v>
          </cell>
          <cell r="H523" t="str">
            <v>「日豪貿易投資自由化に関する調査」業務委嘱</v>
          </cell>
          <cell r="I523" t="str">
            <v xml:space="preserve">
外務省大臣官房会計課長　上月豊久
東京都千代田区霞が関２－２－１</v>
          </cell>
          <cell r="J523">
            <v>38736</v>
          </cell>
          <cell r="K523">
            <v>5148990</v>
          </cell>
          <cell r="L523"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23" t="str">
            <v>見直しの余地があるもの</v>
          </cell>
          <cell r="N523" t="str">
            <v>企画招請を実施（１８年度以降も引き続き実施）</v>
          </cell>
          <cell r="P523" t="str">
            <v>民○</v>
          </cell>
          <cell r="Q523" t="str">
            <v>民</v>
          </cell>
          <cell r="R523" t="str">
            <v>○</v>
          </cell>
          <cell r="S523" t="str">
            <v>民18②</v>
          </cell>
          <cell r="U523" t="str">
            <v>民</v>
          </cell>
          <cell r="W523" t="str">
            <v>②</v>
          </cell>
          <cell r="AA523">
            <v>1701477</v>
          </cell>
          <cell r="AB523">
            <v>1</v>
          </cell>
          <cell r="AC523" t="str">
            <v>17H049</v>
          </cell>
          <cell r="AD523" t="str">
            <v>無指定</v>
          </cell>
          <cell r="AE523" t="str">
            <v>亜洋</v>
          </cell>
          <cell r="AF523" t="str">
            <v>会計課調達室／サービス調達第１班</v>
          </cell>
          <cell r="AG523" t="str">
            <v>村松</v>
          </cell>
        </row>
        <row r="524">
          <cell r="A524" t="str">
            <v>民525</v>
          </cell>
          <cell r="B524">
            <v>831</v>
          </cell>
          <cell r="C524" t="str">
            <v>ﾋｶﾞｼｱｼﾞｱｷｮｳﾄﾞｳ</v>
          </cell>
          <cell r="E524">
            <v>525</v>
          </cell>
          <cell r="F524" t="str">
            <v>東アジア共同体評議会</v>
          </cell>
          <cell r="G524" t="str">
            <v>東京都港区赤坂２－１７－１２</v>
          </cell>
          <cell r="H524" t="str">
            <v>「東アジア地域における非伝統的安全保障および環境問題に関する調査」業務委嘱</v>
          </cell>
          <cell r="I524" t="str">
            <v>外務省大臣官房会計課長　上月豊久　東京都千代田区霞が関２－２－１</v>
          </cell>
          <cell r="J524">
            <v>38737</v>
          </cell>
          <cell r="K524">
            <v>4996945</v>
          </cell>
          <cell r="L524" t="str">
            <v>契約目的達成のために必要な知見・ノウハウの蓄積を鑑みれば、本件契約相手先が最も適当であると判断されたことから、他に競争を許さない（会計法第２９条の３第４項）。</v>
          </cell>
          <cell r="M524" t="str">
            <v>見直しの余地があるもの</v>
          </cell>
          <cell r="N524" t="str">
            <v>18年度において当該事務・事業の委託を行わないもの</v>
          </cell>
          <cell r="P524" t="str">
            <v>民×</v>
          </cell>
          <cell r="Q524" t="str">
            <v>民</v>
          </cell>
          <cell r="S524" t="str">
            <v>民18×</v>
          </cell>
          <cell r="U524" t="str">
            <v>民</v>
          </cell>
          <cell r="W524" t="str">
            <v>×</v>
          </cell>
          <cell r="AA524">
            <v>1701634</v>
          </cell>
          <cell r="AB524">
            <v>1</v>
          </cell>
          <cell r="AC524" t="str">
            <v>17h047</v>
          </cell>
          <cell r="AD524" t="str">
            <v xml:space="preserve"> </v>
          </cell>
          <cell r="AE524" t="str">
            <v>亜地政</v>
          </cell>
          <cell r="AF524" t="str">
            <v>会計課調達室／サービス調達第１班</v>
          </cell>
          <cell r="AG524" t="str">
            <v>竹沢</v>
          </cell>
        </row>
        <row r="525">
          <cell r="A525" t="str">
            <v>民526</v>
          </cell>
          <cell r="B525">
            <v>832</v>
          </cell>
          <cell r="C525" t="str">
            <v>ﾌｼﾞﾂｳ</v>
          </cell>
          <cell r="E525">
            <v>526</v>
          </cell>
          <cell r="F525" t="str">
            <v>富士通株式会社</v>
          </cell>
          <cell r="G525" t="str">
            <v>東京都千代田区丸の内１－６－１</v>
          </cell>
          <cell r="H525" t="str">
            <v>「領事関連データ管理システムへのデータ移行作業」業務委嘱</v>
          </cell>
          <cell r="I525" t="str">
            <v xml:space="preserve">
外務省大臣官房会計課長　上月豊久
東京都千代田区霞が関２－２－１</v>
          </cell>
          <cell r="J525">
            <v>38740</v>
          </cell>
          <cell r="K525">
            <v>2488500</v>
          </cell>
          <cell r="L525" t="str">
            <v>本システムの開発を行った会社が同システムの保守を行うものであり、競争を許さない（会計法第２９条の３第４項）</v>
          </cell>
          <cell r="M525" t="str">
            <v>見直しの余地があるもの</v>
          </cell>
          <cell r="N525" t="str">
            <v>１８年度以降において当該事務・事業の委託等を行う予定のないもの</v>
          </cell>
          <cell r="P525" t="str">
            <v>民×</v>
          </cell>
          <cell r="Q525" t="str">
            <v>民</v>
          </cell>
          <cell r="S525" t="str">
            <v>民18×</v>
          </cell>
          <cell r="U525" t="str">
            <v>民</v>
          </cell>
          <cell r="W525" t="str">
            <v>×</v>
          </cell>
          <cell r="AA525">
            <v>1701438</v>
          </cell>
          <cell r="AB525">
            <v>1</v>
          </cell>
          <cell r="AD525" t="str">
            <v>無指定</v>
          </cell>
          <cell r="AE525" t="str">
            <v>領旅</v>
          </cell>
          <cell r="AF525" t="str">
            <v>会計課調達室／サービス調達第３班</v>
          </cell>
          <cell r="AG525" t="str">
            <v>川上</v>
          </cell>
        </row>
        <row r="526">
          <cell r="A526" t="str">
            <v>民527</v>
          </cell>
          <cell r="B526">
            <v>833</v>
          </cell>
          <cell r="C526" t="str">
            <v>ｼﾝﾆｯﾃﾂｿﾘｭｰｼｮﾝ</v>
          </cell>
          <cell r="E526">
            <v>527</v>
          </cell>
          <cell r="F526" t="str">
            <v>新日鉄ソリューションズ株式会社</v>
          </cell>
          <cell r="G526" t="str">
            <v>東京都中央区新川２－２０－１５</v>
          </cell>
          <cell r="H526" t="str">
            <v>「会計手続システム機能拡張作業」業務委嘱</v>
          </cell>
          <cell r="I526" t="str">
            <v>外務省大臣官房会計課長　上月豊久　東京都千代田区霞が関２－２－１</v>
          </cell>
          <cell r="J526">
            <v>38741</v>
          </cell>
          <cell r="K526">
            <v>5197500</v>
          </cell>
          <cell r="L526" t="str">
            <v>現在稼働中のシステムの改修を同システムの開発業者である契約相手先に委託するものであり、業務効率・費用面から考えて他に競争を許さない（会計法第２９条の３第４項）。</v>
          </cell>
          <cell r="M526" t="str">
            <v>見直しの余地があるもの</v>
          </cell>
          <cell r="N526" t="str">
            <v>18年度において当該事務・事業の委託を行う予定のないもの</v>
          </cell>
          <cell r="P526" t="str">
            <v>民×</v>
          </cell>
          <cell r="Q526" t="str">
            <v>民</v>
          </cell>
          <cell r="S526" t="str">
            <v>民18×</v>
          </cell>
          <cell r="U526" t="str">
            <v>民</v>
          </cell>
          <cell r="W526" t="str">
            <v>×</v>
          </cell>
          <cell r="AA526">
            <v>1701443</v>
          </cell>
          <cell r="AB526">
            <v>1</v>
          </cell>
          <cell r="AC526" t="str">
            <v>17W566</v>
          </cell>
          <cell r="AD526" t="str">
            <v>無指定</v>
          </cell>
          <cell r="AE526" t="str">
            <v>会</v>
          </cell>
          <cell r="AF526" t="str">
            <v>会計課調達室／サービス調達第３班</v>
          </cell>
          <cell r="AG526" t="str">
            <v>川上</v>
          </cell>
        </row>
        <row r="527">
          <cell r="A527" t="str">
            <v>民528</v>
          </cell>
          <cell r="B527">
            <v>834</v>
          </cell>
          <cell r="C527" t="str">
            <v>ｱﾝｾﾞﾝﾎｼｮｳ</v>
          </cell>
          <cell r="E527">
            <v>528</v>
          </cell>
          <cell r="F527" t="str">
            <v>安全保障問題研究会</v>
          </cell>
          <cell r="G527" t="str">
            <v>東京都港区赤坂２－１７－２２</v>
          </cell>
          <cell r="H527" t="str">
            <v>新しい日露関係「第２回専門家対話事業」業務委嘱</v>
          </cell>
          <cell r="I527" t="str">
            <v xml:space="preserve">
外務省大臣官房会計課長　上月豊久
東京都千代田区霞が関２－２－１</v>
          </cell>
          <cell r="J527">
            <v>38742</v>
          </cell>
          <cell r="K527">
            <v>3203200</v>
          </cell>
          <cell r="L527" t="str">
            <v>契約相手先は本件事業の日本側実施団体であり、契約目的の効率的な達成及び効果の観点から同団体との契約は不可欠である（会計法第２９条の３第４項）。</v>
          </cell>
          <cell r="M527" t="str">
            <v>見直しの余地があるもの</v>
          </cell>
          <cell r="N527" t="str">
            <v>企画招請への移行を検討（平成１９年度から）</v>
          </cell>
          <cell r="P527" t="str">
            <v>民×</v>
          </cell>
          <cell r="Q527" t="str">
            <v>民</v>
          </cell>
          <cell r="S527" t="str">
            <v>民19②</v>
          </cell>
          <cell r="U527" t="str">
            <v>民</v>
          </cell>
          <cell r="X527" t="str">
            <v>②</v>
          </cell>
          <cell r="AA527">
            <v>1701545</v>
          </cell>
          <cell r="AB527">
            <v>1</v>
          </cell>
          <cell r="AC527" t="str">
            <v>17H063</v>
          </cell>
          <cell r="AD527" t="str">
            <v>無指定</v>
          </cell>
          <cell r="AE527" t="str">
            <v>欧ロ</v>
          </cell>
          <cell r="AF527" t="str">
            <v>会計課調達室／サービス調達第２班</v>
          </cell>
          <cell r="AG527" t="str">
            <v>西村</v>
          </cell>
        </row>
        <row r="528">
          <cell r="A528" t="str">
            <v>民529</v>
          </cell>
          <cell r="B528">
            <v>835</v>
          </cell>
          <cell r="C528" t="str">
            <v>ｶﾝｻｲｺｸｻｲ</v>
          </cell>
          <cell r="E528">
            <v>529</v>
          </cell>
          <cell r="F528" t="str">
            <v>関西国際交流団体協議会</v>
          </cell>
          <cell r="G528" t="str">
            <v>大阪府大阪市天王寺区上本町８－２－６</v>
          </cell>
          <cell r="H528" t="str">
            <v>「ワン・ワールド・フェスティバル（大阪）におけるＯＤＡタウンミーティング」開催業務委嘱</v>
          </cell>
          <cell r="I528" t="str">
            <v>外務省大臣官房会計課長　上月豊久　東京都千代田区霞が関２－２－１</v>
          </cell>
          <cell r="J528">
            <v>38742</v>
          </cell>
          <cell r="K528">
            <v>1972847</v>
          </cell>
          <cell r="L528" t="str">
            <v>本フェスティバルは契約相手先が事務局としてロジ全般を行っているフェスティバルの一部分を当方事業として行うものであり、同団体以外に本件ロジ業務委嘱を行える団体は存在しない（会計法第２９条の３第４項）。</v>
          </cell>
          <cell r="M528" t="str">
            <v>その他のもの</v>
          </cell>
          <cell r="N528" t="str">
            <v>随意契約によらざるを得ないもの</v>
          </cell>
          <cell r="P528" t="str">
            <v>民×</v>
          </cell>
          <cell r="Q528" t="str">
            <v>民</v>
          </cell>
          <cell r="S528" t="str">
            <v>民1</v>
          </cell>
          <cell r="U528" t="str">
            <v>民</v>
          </cell>
          <cell r="V528" t="str">
            <v>●</v>
          </cell>
          <cell r="AA528">
            <v>1701453</v>
          </cell>
          <cell r="AB528">
            <v>1</v>
          </cell>
          <cell r="AC528" t="str">
            <v>17X439</v>
          </cell>
          <cell r="AD528" t="str">
            <v xml:space="preserve"> </v>
          </cell>
          <cell r="AE528" t="str">
            <v>経協政</v>
          </cell>
          <cell r="AF528" t="str">
            <v>会計課調達室／サービス調達第２班</v>
          </cell>
          <cell r="AG528" t="str">
            <v>小林</v>
          </cell>
          <cell r="AI528" t="str">
            <v>行政目的を達成するために不可欠な業務を提供することが可能な者から提供を受けるもの</v>
          </cell>
          <cell r="AJ528" t="str">
            <v>ニ（ヘ）
に準ずる</v>
          </cell>
        </row>
        <row r="529">
          <cell r="A529" t="str">
            <v>民530</v>
          </cell>
          <cell r="B529">
            <v>836</v>
          </cell>
          <cell r="C529" t="str">
            <v>ｶﾌﾞﾋﾀﾁｾｲｻｸ</v>
          </cell>
          <cell r="E529">
            <v>530</v>
          </cell>
          <cell r="F529" t="str">
            <v>株式会社日立製作所　</v>
          </cell>
          <cell r="G529" t="str">
            <v>東京都千代田区神田駿河台４－６</v>
          </cell>
          <cell r="H529" t="str">
            <v>「関係府省庁技術協力システムに関する機能拡張作業」業務委嘱</v>
          </cell>
          <cell r="I529" t="str">
            <v>外務省大臣官房会計課長　上月豊久　東京都千代田区霞が関２－２－１</v>
          </cell>
          <cell r="J529">
            <v>38743</v>
          </cell>
          <cell r="K529">
            <v>6205500</v>
          </cell>
          <cell r="L529"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529" t="str">
            <v>見直しの余地があるもの</v>
          </cell>
          <cell r="N529" t="str">
            <v>１８年度において当該事務・事業の委託等を行う予定のないもの</v>
          </cell>
          <cell r="P529" t="str">
            <v>民×</v>
          </cell>
          <cell r="Q529" t="str">
            <v>民</v>
          </cell>
          <cell r="S529" t="str">
            <v>民18×</v>
          </cell>
          <cell r="U529" t="str">
            <v>民</v>
          </cell>
          <cell r="W529" t="str">
            <v>×</v>
          </cell>
          <cell r="AA529">
            <v>1701482</v>
          </cell>
          <cell r="AB529">
            <v>1</v>
          </cell>
          <cell r="AC529" t="str">
            <v>17W584</v>
          </cell>
          <cell r="AD529" t="str">
            <v>無指定</v>
          </cell>
          <cell r="AE529" t="str">
            <v>経協政</v>
          </cell>
          <cell r="AF529" t="str">
            <v>会計課調達室／サービス調達第３班</v>
          </cell>
          <cell r="AG529" t="str">
            <v>川畑</v>
          </cell>
        </row>
        <row r="530">
          <cell r="A530" t="str">
            <v>民531</v>
          </cell>
          <cell r="B530">
            <v>837</v>
          </cell>
          <cell r="C530" t="str">
            <v>ｼﾝﾆｯﾃﾂｿﾘｭｰｼｮﾝ</v>
          </cell>
          <cell r="E530">
            <v>531</v>
          </cell>
          <cell r="F530" t="str">
            <v>新日鉄ソリューションズ株式会社</v>
          </cell>
          <cell r="G530" t="str">
            <v>東京都中央区新川２－２０－１５</v>
          </cell>
          <cell r="H530" t="str">
            <v>「管理者評価制度集計システム機能改善」業務委嘱</v>
          </cell>
          <cell r="I530" t="str">
            <v xml:space="preserve">
外務省大臣官房会計課長　上月豊久
東京都千代田区霞が関２－２－１</v>
          </cell>
          <cell r="J530">
            <v>38743</v>
          </cell>
          <cell r="K530">
            <v>4400550</v>
          </cell>
          <cell r="L530" t="str">
            <v>本システムの開発を行った会社が同システムの保守を行うものであり、競争を許さない（会計法第２９条の３第４項）</v>
          </cell>
          <cell r="M530" t="str">
            <v>見直しの余地があるもの</v>
          </cell>
          <cell r="N530" t="str">
            <v>１８年度において当該事務・事業の委託等を行う予定のないもの</v>
          </cell>
          <cell r="P530" t="str">
            <v>民×</v>
          </cell>
          <cell r="Q530" t="str">
            <v>民</v>
          </cell>
          <cell r="S530" t="str">
            <v>民18×</v>
          </cell>
          <cell r="U530" t="str">
            <v>民</v>
          </cell>
          <cell r="W530" t="str">
            <v>×</v>
          </cell>
          <cell r="AA530">
            <v>1701491</v>
          </cell>
          <cell r="AB530">
            <v>1</v>
          </cell>
          <cell r="AC530" t="str">
            <v>17W592</v>
          </cell>
          <cell r="AD530" t="str">
            <v>無指定</v>
          </cell>
          <cell r="AE530" t="str">
            <v>人</v>
          </cell>
          <cell r="AF530" t="str">
            <v>会計課調達室／サービス調達第３班</v>
          </cell>
          <cell r="AG530" t="str">
            <v>遠藤</v>
          </cell>
        </row>
        <row r="531">
          <cell r="A531" t="str">
            <v>民532</v>
          </cell>
          <cell r="B531">
            <v>838</v>
          </cell>
          <cell r="C531" t="str">
            <v>ｶﾌﾞﾘｺｰ</v>
          </cell>
          <cell r="E531">
            <v>532</v>
          </cell>
          <cell r="F531" t="str">
            <v>株式会社リコー</v>
          </cell>
          <cell r="G531" t="str">
            <v>東京都大田区中馬込１－３－６</v>
          </cell>
          <cell r="H531" t="str">
            <v>「外務省学習管理システムの機能改修」業務委嘱</v>
          </cell>
          <cell r="I531" t="str">
            <v>外務省大臣官房会計課長　上月豊久　東京都千代田区霞が関２－２－１</v>
          </cell>
          <cell r="J531">
            <v>38744</v>
          </cell>
          <cell r="K531">
            <v>6303150</v>
          </cell>
          <cell r="L531"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531" t="str">
            <v>見直しの余地があるもの</v>
          </cell>
          <cell r="N531" t="str">
            <v>１８年度以降において当該事務・事業の委託等を行う予定はない</v>
          </cell>
          <cell r="P531" t="str">
            <v>民×</v>
          </cell>
          <cell r="Q531" t="str">
            <v>民</v>
          </cell>
          <cell r="S531" t="str">
            <v>民18×</v>
          </cell>
          <cell r="U531" t="str">
            <v>民</v>
          </cell>
          <cell r="W531" t="str">
            <v>×</v>
          </cell>
          <cell r="AA531">
            <v>1701489</v>
          </cell>
          <cell r="AB531">
            <v>1</v>
          </cell>
          <cell r="AC531" t="str">
            <v>17W574</v>
          </cell>
          <cell r="AD531" t="str">
            <v>無指定</v>
          </cell>
          <cell r="AE531" t="str">
            <v>信</v>
          </cell>
          <cell r="AF531" t="str">
            <v>会計課調達室／サービス調達第３班</v>
          </cell>
          <cell r="AG531" t="str">
            <v>川畑</v>
          </cell>
        </row>
        <row r="532">
          <cell r="A532" t="str">
            <v>民533</v>
          </cell>
          <cell r="B532">
            <v>839</v>
          </cell>
          <cell r="C532" t="str">
            <v>ｶﾌﾞﾘｺ</v>
          </cell>
          <cell r="E532">
            <v>533</v>
          </cell>
          <cell r="F532" t="str">
            <v>株式会社リコー</v>
          </cell>
          <cell r="G532" t="str">
            <v>東京都大田区中馬込１－３－６</v>
          </cell>
          <cell r="H532" t="str">
            <v>「契約案件管理データベースの機能拡張」業務委嘱</v>
          </cell>
          <cell r="I532" t="str">
            <v>外務省大臣官房会計課長　上月豊久　東京都千代田区霞が関２－２－１</v>
          </cell>
          <cell r="J532">
            <v>38748</v>
          </cell>
          <cell r="K532">
            <v>2447550</v>
          </cell>
          <cell r="L532" t="str">
            <v>現在稼働中のシステムの改修を同システムの開発業者である契約相手先に委託するものであり、業務効率・費用面から考えて他に競争を許さない（会計法第２９条の３第４項）。</v>
          </cell>
          <cell r="M532" t="str">
            <v>見直しの余地があるもの</v>
          </cell>
          <cell r="N532" t="str">
            <v>平成２０年度に予定している新システム導入以降は本件事務・事業の委託は行わない。</v>
          </cell>
          <cell r="P532" t="str">
            <v>民×</v>
          </cell>
          <cell r="Q532" t="str">
            <v>民</v>
          </cell>
          <cell r="S532" t="str">
            <v>民20×</v>
          </cell>
          <cell r="U532" t="str">
            <v>民</v>
          </cell>
          <cell r="Y532" t="str">
            <v>×</v>
          </cell>
          <cell r="AA532">
            <v>1701635</v>
          </cell>
          <cell r="AB532">
            <v>1</v>
          </cell>
          <cell r="AC532" t="str">
            <v>17W560</v>
          </cell>
          <cell r="AD532" t="str">
            <v>無指定</v>
          </cell>
          <cell r="AE532" t="str">
            <v>会</v>
          </cell>
          <cell r="AF532" t="str">
            <v>会計課調達室／政府調達班</v>
          </cell>
          <cell r="AG532" t="str">
            <v>栗田</v>
          </cell>
        </row>
        <row r="533">
          <cell r="A533" t="str">
            <v>民534</v>
          </cell>
          <cell r="B533">
            <v>840</v>
          </cell>
          <cell r="C533" t="str">
            <v>ｺｸｻｲｲｼﾞｭｳ</v>
          </cell>
          <cell r="E533">
            <v>534</v>
          </cell>
          <cell r="F533" t="str">
            <v>国際移住機関（ＩＯＭ）東京事務所</v>
          </cell>
          <cell r="G533" t="str">
            <v>東京都港区虎ノ門１－１－１２</v>
          </cell>
          <cell r="H533" t="str">
            <v>「海外交流審議会フォローアップ・シンポジウム」開催業務委嘱</v>
          </cell>
          <cell r="I533" t="str">
            <v xml:space="preserve">
外務省大臣官房会計課長　上月豊久
東京都千代田区霞が関２－２－１</v>
          </cell>
          <cell r="J533">
            <v>38751</v>
          </cell>
          <cell r="K533">
            <v>1999800</v>
          </cell>
          <cell r="L533" t="str">
            <v>ＩＯＭは移住問題に関する高い専門性を有し、これまで同様のシンポジウム開催のロジ業務を担当してきて豊富な経験を有している。これに加え、我が国が経費負担する部分のみを他の業者に委嘱することはロジの混乱を招くことから得策ではなく本件については契約相手先に委嘱することが不可欠である（会計法第２９条の３第４項）。</v>
          </cell>
          <cell r="M533" t="str">
            <v>見直しの余地があるもの</v>
          </cell>
          <cell r="N533" t="str">
            <v>競争入札に移行（１８年度から）</v>
          </cell>
          <cell r="P533" t="str">
            <v>民×</v>
          </cell>
          <cell r="Q533" t="str">
            <v>民</v>
          </cell>
          <cell r="S533" t="str">
            <v>民18①</v>
          </cell>
          <cell r="U533" t="str">
            <v>民</v>
          </cell>
          <cell r="W533" t="str">
            <v>①</v>
          </cell>
          <cell r="AA533">
            <v>1701573</v>
          </cell>
          <cell r="AB533">
            <v>1</v>
          </cell>
          <cell r="AC533" t="str">
            <v>17F277</v>
          </cell>
          <cell r="AD533" t="str">
            <v>取扱注意</v>
          </cell>
          <cell r="AE533" t="str">
            <v>領外</v>
          </cell>
          <cell r="AF533" t="str">
            <v>会計課調達室／サービス調達第２班</v>
          </cell>
          <cell r="AG533" t="str">
            <v>西村</v>
          </cell>
        </row>
        <row r="534">
          <cell r="A534" t="str">
            <v>民535</v>
          </cell>
          <cell r="B534">
            <v>841</v>
          </cell>
          <cell r="C534" t="str">
            <v>ｺｸｻｲｲｼﾞｭｳ</v>
          </cell>
          <cell r="E534">
            <v>535</v>
          </cell>
          <cell r="F534" t="str">
            <v>国際移住機関（ＩＯＭ）東京事務所</v>
          </cell>
          <cell r="G534" t="str">
            <v>東京都港区虎ノ門１－１－１２</v>
          </cell>
          <cell r="H534" t="str">
            <v>「海外交流審議会フォローアップ・シンポジウム」開催業務委嘱</v>
          </cell>
          <cell r="I534" t="str">
            <v xml:space="preserve">
外務省大臣官房会計課長　上月豊久
東京都千代田区霞が関２－２－１</v>
          </cell>
          <cell r="J534">
            <v>38751</v>
          </cell>
          <cell r="K534">
            <v>1269300</v>
          </cell>
          <cell r="L534" t="str">
            <v>ＩＯＭは移住問題に関する高い専門性を有し、これまで同様のシンポジウム開催のロジ業務を担当してきて豊富な経験を有している。これに加え、我が国が経費負担する部分のみを他の業者に委嘱することはロジの混乱を招くことから得策ではなく本件については契約相手先に委嘱することが不可欠である（会計法第２９条の３第４項）。</v>
          </cell>
          <cell r="M534" t="str">
            <v>見直しの余地があるもの</v>
          </cell>
          <cell r="N534" t="str">
            <v>競争入札に移行（１８年度から）</v>
          </cell>
          <cell r="P534" t="str">
            <v>民×</v>
          </cell>
          <cell r="Q534" t="str">
            <v>民</v>
          </cell>
          <cell r="S534" t="str">
            <v>民18①</v>
          </cell>
          <cell r="U534" t="str">
            <v>民</v>
          </cell>
          <cell r="W534" t="str">
            <v>①</v>
          </cell>
          <cell r="AA534">
            <v>1701572</v>
          </cell>
          <cell r="AB534">
            <v>1</v>
          </cell>
          <cell r="AC534" t="str">
            <v>17H111</v>
          </cell>
          <cell r="AD534" t="str">
            <v>取扱注意</v>
          </cell>
          <cell r="AE534" t="str">
            <v>領外</v>
          </cell>
          <cell r="AF534" t="str">
            <v>会計課調達室／サービス調達第２班</v>
          </cell>
          <cell r="AG534" t="str">
            <v>西村</v>
          </cell>
        </row>
        <row r="535">
          <cell r="A535" t="str">
            <v>民536</v>
          </cell>
          <cell r="B535">
            <v>842</v>
          </cell>
          <cell r="C535" t="str">
            <v>ｾﾞﾝﾆﾎﾝｸｳﾕ</v>
          </cell>
          <cell r="E535">
            <v>536</v>
          </cell>
          <cell r="F535" t="str">
            <v>全日本空輸株式会社</v>
          </cell>
          <cell r="G535" t="str">
            <v>東京都港区東新橋汐留シティセンター</v>
          </cell>
          <cell r="H535" t="str">
            <v>「航空機機体ステッカー剥離」業務委嘱</v>
          </cell>
          <cell r="I535" t="str">
            <v xml:space="preserve">
外務省大臣官房会計課長　上月豊久
東京都千代田区霞が関２－２－１</v>
          </cell>
          <cell r="J535">
            <v>38754</v>
          </cell>
          <cell r="K535">
            <v>1228500</v>
          </cell>
          <cell r="L535" t="str">
            <v>契約相手先の航空機に貼付してあったステッカーを機体の定期点検・整備の際に合わせ剥離するための契約であり、他者への委嘱は不可能である（会計法第２９条の３第４項）。</v>
          </cell>
          <cell r="M535" t="str">
            <v>見直しの余地があるもの</v>
          </cell>
          <cell r="N535" t="str">
            <v>１８年度以降において当該事務・事業の委託等を行う予定のないもの</v>
          </cell>
          <cell r="P535" t="str">
            <v>民×</v>
          </cell>
          <cell r="Q535" t="str">
            <v>民</v>
          </cell>
          <cell r="S535" t="str">
            <v>民18×</v>
          </cell>
          <cell r="U535" t="str">
            <v>民</v>
          </cell>
          <cell r="W535" t="str">
            <v>×</v>
          </cell>
          <cell r="AA535">
            <v>1701633</v>
          </cell>
          <cell r="AB535">
            <v>1</v>
          </cell>
          <cell r="AC535" t="str">
            <v>17T329</v>
          </cell>
          <cell r="AD535" t="str">
            <v>無指定</v>
          </cell>
          <cell r="AE535" t="str">
            <v>亜北</v>
          </cell>
          <cell r="AF535" t="str">
            <v>会計課調達室／サービス調達第１班</v>
          </cell>
          <cell r="AG535" t="str">
            <v>竹沢</v>
          </cell>
        </row>
        <row r="536">
          <cell r="A536" t="str">
            <v>民537</v>
          </cell>
          <cell r="B536">
            <v>843</v>
          </cell>
          <cell r="C536" t="str">
            <v>ｶﾌﾞﾆﾎﾝﾃﾚ</v>
          </cell>
          <cell r="E536">
            <v>537</v>
          </cell>
          <cell r="F536" t="str">
            <v>株式会社日本テレビビデオ</v>
          </cell>
          <cell r="G536" t="str">
            <v>東京都千代田区四番町５－６</v>
          </cell>
          <cell r="H536" t="str">
            <v>「旅券の日」キャンペーン実施委託契約</v>
          </cell>
          <cell r="I536" t="str">
            <v xml:space="preserve">
外務省大臣官房会計課長　上月豊久
東京都千代田区霞が関２－２－１</v>
          </cell>
          <cell r="J536">
            <v>38755</v>
          </cell>
          <cell r="K536">
            <v>13996500</v>
          </cell>
          <cell r="L536"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36" t="str">
            <v>見直しの余地があるもの</v>
          </cell>
          <cell r="N536" t="str">
            <v>企画招請を実施（１８年度以降も引き続き実施）</v>
          </cell>
          <cell r="P536" t="str">
            <v>民○</v>
          </cell>
          <cell r="Q536" t="str">
            <v>民</v>
          </cell>
          <cell r="R536" t="str">
            <v>○</v>
          </cell>
          <cell r="S536" t="str">
            <v>民18②</v>
          </cell>
          <cell r="U536" t="str">
            <v>民</v>
          </cell>
          <cell r="W536" t="str">
            <v>②</v>
          </cell>
          <cell r="AA536">
            <v>1701523</v>
          </cell>
          <cell r="AB536">
            <v>1</v>
          </cell>
          <cell r="AC536" t="str">
            <v>17M394</v>
          </cell>
          <cell r="AD536" t="str">
            <v>無指定</v>
          </cell>
          <cell r="AE536" t="str">
            <v>領旅</v>
          </cell>
          <cell r="AF536" t="str">
            <v>会計課調達室／サービス調達第１班</v>
          </cell>
          <cell r="AG536" t="str">
            <v>村松</v>
          </cell>
        </row>
        <row r="537">
          <cell r="A537" t="str">
            <v>民538</v>
          </cell>
          <cell r="B537">
            <v>844</v>
          </cell>
          <cell r="C537" t="str">
            <v>ｼﾝﾆｯﾃﾂ</v>
          </cell>
          <cell r="E537">
            <v>538</v>
          </cell>
          <cell r="F537" t="str">
            <v>新日鉄ソリューションズ株式会社</v>
          </cell>
          <cell r="G537" t="str">
            <v>東京都中央区新川２－２０－１５</v>
          </cell>
          <cell r="H537" t="str">
            <v>「省内ＬＡＮホームページ改善」業務委嘱</v>
          </cell>
          <cell r="I537" t="str">
            <v>外務省大臣官房会計課長　上月豊久　東京都千代田区霞が関２－２－１</v>
          </cell>
          <cell r="J537">
            <v>38756</v>
          </cell>
          <cell r="K537">
            <v>3892350</v>
          </cell>
          <cell r="L537" t="str">
            <v xml:space="preserve">
本システムの開発を行った会社が同システムに係る改修を行うものであり、競争を許さない（会計法第２９条の３第４項）</v>
          </cell>
          <cell r="M537" t="str">
            <v>見直しの余地があるもの</v>
          </cell>
          <cell r="N537" t="str">
            <v>平成１８年度以降において当該事務・事業の委託等を実施しない</v>
          </cell>
          <cell r="P537" t="str">
            <v>民×</v>
          </cell>
          <cell r="Q537" t="str">
            <v>民</v>
          </cell>
          <cell r="S537" t="str">
            <v>民18×</v>
          </cell>
          <cell r="U537" t="str">
            <v>民</v>
          </cell>
          <cell r="W537" t="str">
            <v>×</v>
          </cell>
          <cell r="AA537">
            <v>1701522</v>
          </cell>
          <cell r="AB537">
            <v>1</v>
          </cell>
          <cell r="AC537" t="str">
            <v>17Z807</v>
          </cell>
          <cell r="AD537" t="str">
            <v>無指定</v>
          </cell>
          <cell r="AE537" t="str">
            <v>官情</v>
          </cell>
          <cell r="AF537" t="str">
            <v>会計課調達室／サービス調達第３班</v>
          </cell>
          <cell r="AG537" t="str">
            <v>川上</v>
          </cell>
        </row>
        <row r="538">
          <cell r="A538" t="str">
            <v>民539</v>
          </cell>
          <cell r="B538">
            <v>845</v>
          </cell>
          <cell r="C538" t="str">
            <v>ｶﾌﾞﾘｺｰ</v>
          </cell>
          <cell r="E538">
            <v>539</v>
          </cell>
          <cell r="F538" t="str">
            <v>株式会社リコー</v>
          </cell>
          <cell r="G538" t="str">
            <v>東京都大田区中馬込１－３－６</v>
          </cell>
          <cell r="H538" t="str">
            <v>「旅費ネットワークシステム更新」業務委嘱</v>
          </cell>
          <cell r="I538" t="str">
            <v>外務省大臣官房会計課長　上月豊久　東京都千代田区霞が関２－２－１</v>
          </cell>
          <cell r="J538">
            <v>38757</v>
          </cell>
          <cell r="K538">
            <v>2856573</v>
          </cell>
          <cell r="L538"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538" t="str">
            <v>見直しの余地があるもの</v>
          </cell>
          <cell r="N538" t="str">
            <v>１８年度以降において当該事務・事業の委託等を行う予定のないもの</v>
          </cell>
          <cell r="P538" t="str">
            <v>民×</v>
          </cell>
          <cell r="Q538" t="str">
            <v>民</v>
          </cell>
          <cell r="S538" t="str">
            <v>民18×</v>
          </cell>
          <cell r="U538" t="str">
            <v>民</v>
          </cell>
          <cell r="W538" t="str">
            <v>×</v>
          </cell>
          <cell r="AA538">
            <v>1701717</v>
          </cell>
          <cell r="AB538">
            <v>1</v>
          </cell>
          <cell r="AC538" t="str">
            <v>17W615</v>
          </cell>
          <cell r="AD538" t="str">
            <v>無指定</v>
          </cell>
          <cell r="AE538" t="str">
            <v>会</v>
          </cell>
          <cell r="AF538" t="str">
            <v>会計課調達室／物品調達班</v>
          </cell>
          <cell r="AG538" t="str">
            <v>宮田</v>
          </cell>
        </row>
        <row r="539">
          <cell r="A539" t="str">
            <v>民540</v>
          </cell>
          <cell r="B539">
            <v>846</v>
          </cell>
          <cell r="C539" t="str">
            <v>ﾀﾞｲｲﾁﾎｳｷ</v>
          </cell>
          <cell r="E539">
            <v>540</v>
          </cell>
          <cell r="F539" t="str">
            <v>第一法規出版株式会社</v>
          </cell>
          <cell r="G539" t="str">
            <v>東京都港区南青山２－１１－１７</v>
          </cell>
          <cell r="H539" t="str">
            <v>外務省関係法令集の製版</v>
          </cell>
          <cell r="I539" t="str">
            <v xml:space="preserve">
外務省大臣官房会計課長　上月豊久
東京都千代田区霞が関２－２－１</v>
          </cell>
          <cell r="J539">
            <v>38757</v>
          </cell>
          <cell r="K539">
            <v>5218500</v>
          </cell>
          <cell r="L539" t="str">
            <v>同社は昭和４９年以来法令集の製版を行っており、独自の注釈、改正履歴、付則の編纂作業にあたっては同社が編集著作権を有している。従って、他者への委嘱は困難である（会計法第２９条の３第４項）。</v>
          </cell>
          <cell r="M539" t="str">
            <v>見直しの余地があるもの</v>
          </cell>
          <cell r="N539" t="str">
            <v>競争入札または公募への移行を検討する(平成１９年度中に実施予定)</v>
          </cell>
          <cell r="P539" t="str">
            <v>民×</v>
          </cell>
          <cell r="Q539" t="str">
            <v>民</v>
          </cell>
          <cell r="S539" t="str">
            <v>民19②</v>
          </cell>
          <cell r="U539" t="str">
            <v>民</v>
          </cell>
          <cell r="X539" t="str">
            <v>①②</v>
          </cell>
          <cell r="AA539">
            <v>1701588</v>
          </cell>
          <cell r="AB539">
            <v>1</v>
          </cell>
          <cell r="AC539" t="str">
            <v>17P399</v>
          </cell>
          <cell r="AD539" t="str">
            <v xml:space="preserve"> </v>
          </cell>
          <cell r="AE539" t="str">
            <v>総</v>
          </cell>
          <cell r="AF539" t="str">
            <v>会計課調達室／政府調達班</v>
          </cell>
          <cell r="AG539" t="str">
            <v>加藤</v>
          </cell>
        </row>
        <row r="540">
          <cell r="A540" t="str">
            <v>民541</v>
          </cell>
          <cell r="B540">
            <v>847</v>
          </cell>
          <cell r="C540" t="str">
            <v>ｶﾌﾞﾌﾞﾝｶｺｳﾎﾞｳ</v>
          </cell>
          <cell r="E540">
            <v>541</v>
          </cell>
          <cell r="F540" t="str">
            <v>株式会社文化工房</v>
          </cell>
          <cell r="G540" t="str">
            <v>東京都港区六本木５－１０－３１</v>
          </cell>
          <cell r="H540" t="str">
            <v>外務省パンフレットの改訂及び作成</v>
          </cell>
          <cell r="I540" t="str">
            <v xml:space="preserve">
外務省大臣官房会計課長　上月豊久
東京都千代田区霞が関２－２－１</v>
          </cell>
          <cell r="J540">
            <v>38757</v>
          </cell>
          <cell r="K540">
            <v>4158000</v>
          </cell>
          <cell r="L540" t="str">
            <v>企画招請により作成したパンフレットのデザインを含めた改訂版を作成するものであり、企画・デザインに関しては同社が著作権を有している事から他に競争を許さない（会計法第２９条の３第４項）。</v>
          </cell>
          <cell r="M540" t="str">
            <v>見直しの余地があるもの</v>
          </cell>
          <cell r="N540" t="str">
            <v>１８年度以降において当該事務・事業の委託等を行う予定のないもの</v>
          </cell>
          <cell r="P540" t="str">
            <v>民×</v>
          </cell>
          <cell r="Q540" t="str">
            <v>民</v>
          </cell>
          <cell r="S540" t="str">
            <v>民18×</v>
          </cell>
          <cell r="U540" t="str">
            <v>民</v>
          </cell>
          <cell r="W540" t="str">
            <v>×</v>
          </cell>
          <cell r="AA540">
            <v>1701712</v>
          </cell>
          <cell r="AB540">
            <v>1</v>
          </cell>
          <cell r="AC540" t="str">
            <v>17T481</v>
          </cell>
          <cell r="AD540" t="str">
            <v>無指定</v>
          </cell>
          <cell r="AE540" t="str">
            <v>報内</v>
          </cell>
          <cell r="AF540" t="str">
            <v>会計課調達室／物品調達班</v>
          </cell>
          <cell r="AG540" t="str">
            <v>宮田</v>
          </cell>
        </row>
        <row r="541">
          <cell r="A541" t="str">
            <v>民542</v>
          </cell>
          <cell r="B541">
            <v>848</v>
          </cell>
          <cell r="C541" t="str">
            <v>ｴﾇﾃｨﾃｨｺﾐｭﾆｹ</v>
          </cell>
          <cell r="E541">
            <v>542</v>
          </cell>
          <cell r="F541" t="str">
            <v>エヌ・ティ・ティ・コミュニケーションズ株式会社</v>
          </cell>
          <cell r="G541" t="str">
            <v>東京都千代田区内幸町１－１－６</v>
          </cell>
          <cell r="H541" t="str">
            <v>「旅券申請システム一式」追加設備契約</v>
          </cell>
          <cell r="I541" t="str">
            <v xml:space="preserve">
外務省大臣官房会計課長　上月豊久
東京都千代田区霞が関２－２－１</v>
          </cell>
          <cell r="J541">
            <v>38757</v>
          </cell>
          <cell r="K541">
            <v>36855000</v>
          </cell>
          <cell r="L541" t="str">
            <v>平成１５年度において一般競争入札(賃貸期間平成２１年２月２８日まで。但し契約自体は単年度)で導入した本件システムの継続契約(会計法第２９条の３第４項、特定政令に該当）</v>
          </cell>
          <cell r="M541" t="str">
            <v>見直しの余地があるもの</v>
          </cell>
          <cell r="N541" t="str">
            <v>１８年度以降において当該事務・事業の委託等を行う予定のないもの</v>
          </cell>
          <cell r="P541" t="str">
            <v>民×</v>
          </cell>
          <cell r="Q541" t="str">
            <v>民</v>
          </cell>
          <cell r="S541" t="str">
            <v>民18×</v>
          </cell>
          <cell r="U541" t="str">
            <v>民</v>
          </cell>
          <cell r="W541" t="str">
            <v>×</v>
          </cell>
          <cell r="AA541">
            <v>1701524</v>
          </cell>
          <cell r="AB541">
            <v>1</v>
          </cell>
          <cell r="AC541" t="str">
            <v>17M432</v>
          </cell>
          <cell r="AD541" t="str">
            <v>取扱注意</v>
          </cell>
          <cell r="AE541" t="str">
            <v>領旅</v>
          </cell>
          <cell r="AF541" t="str">
            <v>会計課調達室／サービス調達第３班</v>
          </cell>
          <cell r="AG541" t="str">
            <v>川畑</v>
          </cell>
        </row>
        <row r="542">
          <cell r="A542" t="str">
            <v>民543</v>
          </cell>
          <cell r="B542">
            <v>849</v>
          </cell>
          <cell r="C542" t="str">
            <v>ｴﾑｵｰ</v>
          </cell>
          <cell r="E542">
            <v>543</v>
          </cell>
          <cell r="F542" t="str">
            <v>エムオーツーリスト株式会社</v>
          </cell>
          <cell r="G542" t="str">
            <v>東京都千代田区神田司町２－２－１２</v>
          </cell>
          <cell r="H542" t="str">
            <v>ロシア国家院議員一行招聘契約</v>
          </cell>
          <cell r="I542" t="str">
            <v xml:space="preserve">
外務省大臣官房会計課長　上月豊久
東京都千代田区霞が関２－２－１</v>
          </cell>
          <cell r="J542">
            <v>38758</v>
          </cell>
          <cell r="K542">
            <v>5270400</v>
          </cell>
          <cell r="L542" t="str">
            <v>同社はロシアに現地スタッフを配置しており現地事情に精通している。また、これまでの業務請負経験から突発的な変更にも柔軟に対応可能であり、同社との契約は不可欠である（会計法第２９条の３第４項）。</v>
          </cell>
          <cell r="M542" t="str">
            <v>見直しの余地があるもの</v>
          </cell>
          <cell r="N542" t="str">
            <v>競争入札に移行（１８年度から）</v>
          </cell>
          <cell r="P542" t="str">
            <v>民×</v>
          </cell>
          <cell r="Q542" t="str">
            <v>民</v>
          </cell>
          <cell r="S542" t="str">
            <v>民18①</v>
          </cell>
          <cell r="U542" t="str">
            <v>民</v>
          </cell>
          <cell r="W542" t="str">
            <v>①</v>
          </cell>
          <cell r="AA542">
            <v>1701549</v>
          </cell>
          <cell r="AB542">
            <v>2</v>
          </cell>
          <cell r="AC542" t="str">
            <v>17F286</v>
          </cell>
          <cell r="AD542" t="str">
            <v>無指定</v>
          </cell>
          <cell r="AE542" t="str">
            <v>欧ロ</v>
          </cell>
          <cell r="AF542" t="str">
            <v>会計課調達室／サービス調達第２班</v>
          </cell>
          <cell r="AG542" t="str">
            <v>西村</v>
          </cell>
          <cell r="AI542" t="str">
            <v>※18年度、19年度は一般競争入札実施</v>
          </cell>
        </row>
        <row r="543">
          <cell r="A543" t="str">
            <v>民544</v>
          </cell>
          <cell r="B543">
            <v>850</v>
          </cell>
          <cell r="C543" t="str">
            <v>ｶﾌﾞﾘｺｰ</v>
          </cell>
          <cell r="E543">
            <v>544</v>
          </cell>
          <cell r="F543" t="str">
            <v>株式会社リコー</v>
          </cell>
          <cell r="G543" t="str">
            <v>東京都大田区中馬込１－３－６</v>
          </cell>
          <cell r="H543" t="str">
            <v>「旅費ネットワークシステム改修」業務委嘱</v>
          </cell>
          <cell r="I543" t="str">
            <v>外務省大臣官房会計課長　上月豊久　東京都千代田区霞が関２－２－１</v>
          </cell>
          <cell r="J543">
            <v>38758</v>
          </cell>
          <cell r="K543">
            <v>9906750</v>
          </cell>
          <cell r="L543"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543" t="str">
            <v>見直しの余地があるもの</v>
          </cell>
          <cell r="N543" t="str">
            <v>１８年度以降において当該事務・事業の委託等を行う予定のないもの</v>
          </cell>
          <cell r="P543" t="str">
            <v>民×</v>
          </cell>
          <cell r="Q543" t="str">
            <v>民</v>
          </cell>
          <cell r="S543" t="str">
            <v>民18×</v>
          </cell>
          <cell r="U543" t="str">
            <v>民</v>
          </cell>
          <cell r="W543" t="str">
            <v>×</v>
          </cell>
          <cell r="AA543">
            <v>1701527</v>
          </cell>
          <cell r="AB543">
            <v>1</v>
          </cell>
          <cell r="AC543" t="str">
            <v>17W588</v>
          </cell>
          <cell r="AD543" t="str">
            <v>無指定</v>
          </cell>
          <cell r="AE543" t="str">
            <v>会</v>
          </cell>
          <cell r="AF543" t="str">
            <v>会計課調達室／サービス調達第３班</v>
          </cell>
          <cell r="AG543" t="str">
            <v>遠藤</v>
          </cell>
        </row>
        <row r="544">
          <cell r="A544" t="str">
            <v>民545</v>
          </cell>
          <cell r="B544">
            <v>851</v>
          </cell>
          <cell r="C544" t="str">
            <v>ｼﾝﾆｯﾃﾂｿﾘｭｰｼｮﾝ</v>
          </cell>
          <cell r="E544">
            <v>545</v>
          </cell>
          <cell r="F544" t="str">
            <v>新日鉄ソリューションズ株式会社</v>
          </cell>
          <cell r="G544" t="str">
            <v>東京都中央区新川２－２０－１５</v>
          </cell>
          <cell r="H544" t="str">
            <v>「外務省情報公開事務支援システム改善」業務委嘱</v>
          </cell>
          <cell r="I544" t="str">
            <v>外務省大臣官房会計課長　上月豊久　東京都千代田区霞が関２－２－１</v>
          </cell>
          <cell r="J544">
            <v>38758</v>
          </cell>
          <cell r="K544">
            <v>13940850</v>
          </cell>
          <cell r="L544"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544" t="str">
            <v>見直しの余地があるもの</v>
          </cell>
          <cell r="N544" t="str">
            <v>18年度において当該事務・事業の委託を行わないもの</v>
          </cell>
          <cell r="P544" t="str">
            <v>民×</v>
          </cell>
          <cell r="Q544" t="str">
            <v>民</v>
          </cell>
          <cell r="S544" t="str">
            <v>民18×</v>
          </cell>
          <cell r="U544" t="str">
            <v>民</v>
          </cell>
          <cell r="W544" t="str">
            <v>×</v>
          </cell>
          <cell r="AA544">
            <v>1701529</v>
          </cell>
          <cell r="AB544">
            <v>1</v>
          </cell>
          <cell r="AC544" t="str">
            <v>17W601</v>
          </cell>
          <cell r="AD544" t="str">
            <v>無指定</v>
          </cell>
          <cell r="AE544" t="str">
            <v>公開</v>
          </cell>
          <cell r="AF544" t="str">
            <v>会計課調達室／サービス調達第３班</v>
          </cell>
          <cell r="AG544" t="str">
            <v>川畑</v>
          </cell>
        </row>
        <row r="545">
          <cell r="A545" t="str">
            <v>民546</v>
          </cell>
          <cell r="B545">
            <v>852</v>
          </cell>
          <cell r="C545" t="str">
            <v>ｴﾇﾃｨﾃｨｰﾗｰﾆﾝｸﾞ</v>
          </cell>
          <cell r="E545">
            <v>546</v>
          </cell>
          <cell r="F545" t="str">
            <v>ＮＴＴラーニングシステムズ株式会社</v>
          </cell>
          <cell r="G545" t="str">
            <v>東京都港区南麻布１－６－１５</v>
          </cell>
          <cell r="H545" t="str">
            <v>「外務省ホームページ・システム改善」業務委嘱</v>
          </cell>
          <cell r="I545" t="str">
            <v xml:space="preserve">
外務省大臣官房会計課長　上月豊久
東京都千代田区霞が関２－２－１</v>
          </cell>
          <cell r="J545">
            <v>38758</v>
          </cell>
          <cell r="K545">
            <v>1992375</v>
          </cell>
          <cell r="L545" t="str">
            <v>外務省ＨＰの運用業務は現在同社が請け負っており、システムの改修・改善は同社のサーバ上の作業であるため他の業者への委嘱はできない（会計法第２９条の３第４項）。</v>
          </cell>
          <cell r="M545" t="str">
            <v>見直しの余地があるもの</v>
          </cell>
          <cell r="N545" t="str">
            <v>１８年度以降において当該事務・事業の委託等を行う予定のないもの</v>
          </cell>
          <cell r="P545" t="str">
            <v>民×</v>
          </cell>
          <cell r="Q545" t="str">
            <v>民</v>
          </cell>
          <cell r="S545" t="str">
            <v>民18×</v>
          </cell>
          <cell r="U545" t="str">
            <v>民</v>
          </cell>
          <cell r="W545" t="str">
            <v>×</v>
          </cell>
          <cell r="AA545">
            <v>1701681</v>
          </cell>
          <cell r="AB545">
            <v>1</v>
          </cell>
          <cell r="AC545" t="str">
            <v>17W600</v>
          </cell>
          <cell r="AD545" t="str">
            <v>無指定</v>
          </cell>
          <cell r="AE545" t="str">
            <v>報内</v>
          </cell>
          <cell r="AF545" t="str">
            <v>会計課調達室／サービス調達第１班</v>
          </cell>
          <cell r="AG545" t="str">
            <v>村松</v>
          </cell>
        </row>
        <row r="546">
          <cell r="A546" t="str">
            <v>民547</v>
          </cell>
          <cell r="B546">
            <v>853</v>
          </cell>
          <cell r="C546" t="str">
            <v>ｶﾌﾞﾃﾚﾊﾟｯｸ</v>
          </cell>
          <cell r="E546">
            <v>547</v>
          </cell>
          <cell r="F546" t="str">
            <v>株式会社テレパック</v>
          </cell>
          <cell r="G546" t="str">
            <v>東京都港区赤坂２－１２－１０</v>
          </cell>
          <cell r="H546" t="str">
            <v>外務省広報テレビの制作・放映実施契約</v>
          </cell>
          <cell r="I546" t="str">
            <v xml:space="preserve">
外務省大臣官房会計課長　上月豊久
東京都千代田区霞が関２－２－１</v>
          </cell>
          <cell r="J546">
            <v>38765</v>
          </cell>
          <cell r="K546">
            <v>11996250</v>
          </cell>
          <cell r="L546"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46" t="str">
            <v>見直しの余地があるもの</v>
          </cell>
          <cell r="N546" t="str">
            <v>１８年度以降において当該事務・事業の委託等を行う予定のないもの</v>
          </cell>
          <cell r="P546" t="str">
            <v>民○</v>
          </cell>
          <cell r="Q546" t="str">
            <v>民</v>
          </cell>
          <cell r="R546" t="str">
            <v>○</v>
          </cell>
          <cell r="S546" t="str">
            <v>民18×</v>
          </cell>
          <cell r="U546" t="str">
            <v>民</v>
          </cell>
          <cell r="W546" t="str">
            <v>×</v>
          </cell>
          <cell r="AA546">
            <v>1701559</v>
          </cell>
          <cell r="AB546">
            <v>1</v>
          </cell>
          <cell r="AC546" t="str">
            <v>17X448</v>
          </cell>
          <cell r="AD546" t="str">
            <v>無指定</v>
          </cell>
          <cell r="AE546" t="str">
            <v>報内</v>
          </cell>
          <cell r="AF546" t="str">
            <v>会計課調達室／サービス調達第１班</v>
          </cell>
          <cell r="AG546" t="str">
            <v>村松</v>
          </cell>
        </row>
        <row r="547">
          <cell r="A547" t="str">
            <v>民548</v>
          </cell>
          <cell r="B547">
            <v>854</v>
          </cell>
          <cell r="C547" t="str">
            <v>ﾋﾀﾁｲﾝﾀｰ</v>
          </cell>
          <cell r="E547">
            <v>548</v>
          </cell>
          <cell r="F547" t="str">
            <v>日立インターメディックス株式会社</v>
          </cell>
          <cell r="G547" t="str">
            <v>東京都千代田区神田錦町２－１－５</v>
          </cell>
          <cell r="H547" t="str">
            <v>「海外安全ホームページ運営」業務委嘱</v>
          </cell>
          <cell r="I547" t="str">
            <v xml:space="preserve">
外務省大臣官房会計課長　上月豊久
東京都千代田区霞が関２－２－１</v>
          </cell>
          <cell r="J547">
            <v>38765</v>
          </cell>
          <cell r="K547">
            <v>3549000</v>
          </cell>
          <cell r="L547" t="str">
            <v>本件ホームページの運営・管理業務は同社が請け負っており、また、同システムは同社に設置されていて、今回更新する機器の同所に設置されていることから、他の業者への委嘱はできない（会計法第２９条の３第４項）。</v>
          </cell>
          <cell r="M547" t="str">
            <v>見直しの余地があるもの</v>
          </cell>
          <cell r="N547" t="str">
            <v>１８年度以降において当該事務・事業の委託等を行う予定のないもの</v>
          </cell>
          <cell r="P547" t="str">
            <v>民×</v>
          </cell>
          <cell r="Q547" t="str">
            <v>民</v>
          </cell>
          <cell r="S547" t="str">
            <v>民18×</v>
          </cell>
          <cell r="U547" t="str">
            <v>民</v>
          </cell>
          <cell r="W547" t="str">
            <v>×</v>
          </cell>
          <cell r="AA547">
            <v>1701598</v>
          </cell>
          <cell r="AB547">
            <v>1</v>
          </cell>
          <cell r="AC547" t="str">
            <v>17X452</v>
          </cell>
          <cell r="AD547" t="str">
            <v>無指定</v>
          </cell>
          <cell r="AE547" t="str">
            <v>領安</v>
          </cell>
          <cell r="AF547" t="str">
            <v>会計課調達室／サービス調達第１班</v>
          </cell>
          <cell r="AG547" t="str">
            <v>村松</v>
          </cell>
        </row>
        <row r="548">
          <cell r="A548" t="str">
            <v>民549</v>
          </cell>
          <cell r="B548">
            <v>855</v>
          </cell>
          <cell r="C548" t="str">
            <v>ｺﾝﾄﾛｰﾙ</v>
          </cell>
          <cell r="E548">
            <v>549</v>
          </cell>
          <cell r="F548" t="str">
            <v>コントロール・リスクス・グループ株式会社</v>
          </cell>
          <cell r="G548" t="str">
            <v>東京都千代田区一番町２</v>
          </cell>
          <cell r="H548" t="str">
            <v>「アジア地域における危機管理セミナー」開催業務委嘱</v>
          </cell>
          <cell r="I548" t="str">
            <v xml:space="preserve">
外務省大臣官房会計課長　上月豊久
東京都千代田区霞が関２－２－１</v>
          </cell>
          <cell r="J548">
            <v>38765</v>
          </cell>
          <cell r="K548">
            <v>9013000</v>
          </cell>
          <cell r="L548" t="str">
            <v>契約目的を履行可能なノウハウを持ち、海外でのセミナー開催におけるロジ面でのサポートを受益可能な機関は契約相手先のみであり、他に競争を許さない（会計法第２９条の３第４項）。</v>
          </cell>
          <cell r="M548" t="str">
            <v>見直しの余地があるもの</v>
          </cell>
          <cell r="N548" t="str">
            <v>企画招請を実施（１８年度から）</v>
          </cell>
          <cell r="P548" t="str">
            <v>民×</v>
          </cell>
          <cell r="Q548" t="str">
            <v>民</v>
          </cell>
          <cell r="S548" t="str">
            <v>民18②</v>
          </cell>
          <cell r="U548" t="str">
            <v>民</v>
          </cell>
          <cell r="W548" t="str">
            <v>②</v>
          </cell>
          <cell r="AA548">
            <v>1701517</v>
          </cell>
          <cell r="AB548">
            <v>1</v>
          </cell>
          <cell r="AC548" t="str">
            <v>17H067</v>
          </cell>
          <cell r="AD548" t="str">
            <v>取扱注意</v>
          </cell>
          <cell r="AE548" t="str">
            <v>領対</v>
          </cell>
          <cell r="AF548" t="str">
            <v>会計課調達室／サービス調達第１班</v>
          </cell>
          <cell r="AG548" t="str">
            <v>村松</v>
          </cell>
        </row>
        <row r="549">
          <cell r="A549" t="str">
            <v>民550</v>
          </cell>
          <cell r="B549">
            <v>856</v>
          </cell>
          <cell r="C549" t="str">
            <v>ﾆﾎﾝﾃﾞﾝｷｼｽﾃﾑｹﾝｾﾂ</v>
          </cell>
          <cell r="E549">
            <v>550</v>
          </cell>
          <cell r="F549" t="str">
            <v>日本電気システム建設株式会社</v>
          </cell>
          <cell r="G549" t="str">
            <v>東京都品川区東品川１－３９－９</v>
          </cell>
          <cell r="H549" t="str">
            <v>電話設備賃借一式</v>
          </cell>
          <cell r="I549" t="str">
            <v>外務省大臣官房会計課長　上月豊久　東京都千代田区霞が関２－２－１</v>
          </cell>
          <cell r="J549">
            <v>38768</v>
          </cell>
          <cell r="K549">
            <v>63960240</v>
          </cell>
          <cell r="L549" t="str">
            <v>平成１６年度に導入（契約期間平成１６年１月から６０ヶ月。但し契約自体は単年度）した本件賃貸借契約の継続契約（会計法第２９条の３第４項、特定政令に該当）。</v>
          </cell>
          <cell r="M549" t="str">
            <v>見直しの余地があるもの</v>
          </cell>
          <cell r="N549" t="str">
            <v>競争入札に移行を検討（設備の入替時において実施を検討）</v>
          </cell>
          <cell r="P549" t="str">
            <v>民×</v>
          </cell>
          <cell r="Q549" t="str">
            <v>民</v>
          </cell>
          <cell r="S549" t="str">
            <v>民21①</v>
          </cell>
          <cell r="U549" t="str">
            <v>民</v>
          </cell>
          <cell r="Z549" t="str">
            <v>①</v>
          </cell>
        </row>
        <row r="550">
          <cell r="A550" t="str">
            <v>民551</v>
          </cell>
          <cell r="B550">
            <v>857</v>
          </cell>
          <cell r="C550" t="str">
            <v>ｶﾌﾞﾋﾀﾁｾｲ</v>
          </cell>
          <cell r="E550">
            <v>551</v>
          </cell>
          <cell r="F550" t="str">
            <v>株式会社日立製作所　</v>
          </cell>
          <cell r="G550" t="str">
            <v>東京都江東区新砂１－６－２７</v>
          </cell>
          <cell r="H550" t="str">
            <v>外務省人事システム及び給与システム等に関する改造作業</v>
          </cell>
          <cell r="I550" t="str">
            <v>外務省大臣官房会計課長　上月豊久　東京都千代田区霞が関２－２－１</v>
          </cell>
          <cell r="J550">
            <v>38768</v>
          </cell>
          <cell r="K550">
            <v>79800000</v>
          </cell>
          <cell r="L550" t="str">
            <v>ホストコンピュータおよび各種システムを開発した同社に対し現存システムの一部改造業務を委託するものであり競争を許さない（会計法第２９条の３第４項、特定政令に該当）。</v>
          </cell>
          <cell r="M550" t="str">
            <v>見直しの余地があるもの</v>
          </cell>
          <cell r="N550" t="str">
            <v>平成１９年度以降において当該事務・事業の委託等を実施しない</v>
          </cell>
          <cell r="P550" t="str">
            <v>民×</v>
          </cell>
          <cell r="Q550" t="str">
            <v>民</v>
          </cell>
          <cell r="S550" t="str">
            <v>民19×</v>
          </cell>
          <cell r="U550" t="str">
            <v>民</v>
          </cell>
          <cell r="X550" t="str">
            <v>×</v>
          </cell>
          <cell r="AA550">
            <v>1701495</v>
          </cell>
          <cell r="AB550">
            <v>1</v>
          </cell>
          <cell r="AC550" t="str">
            <v>17W558</v>
          </cell>
          <cell r="AD550" t="str">
            <v>無指定</v>
          </cell>
          <cell r="AE550" t="str">
            <v>官情</v>
          </cell>
          <cell r="AF550" t="str">
            <v>会計課調達室／サービス調達第３班</v>
          </cell>
          <cell r="AG550" t="str">
            <v>川畑</v>
          </cell>
        </row>
        <row r="551">
          <cell r="A551" t="str">
            <v>民552</v>
          </cell>
          <cell r="B551">
            <v>858</v>
          </cell>
          <cell r="C551" t="str">
            <v>ｴﾇﾃｨﾃｨｺﾑｳｪｱ</v>
          </cell>
          <cell r="E551">
            <v>552</v>
          </cell>
          <cell r="F551" t="str">
            <v>エヌ・ティ・ティ・コムウェア株式会社</v>
          </cell>
          <cell r="G551" t="str">
            <v>東京都港区港南１－９－１</v>
          </cell>
          <cell r="H551" t="str">
            <v>「条約検索システム更新」業務委嘱</v>
          </cell>
          <cell r="I551" t="str">
            <v xml:space="preserve">
外務省大臣官房会計課長　上月豊久
東京都千代田区霞が関２－２－１</v>
          </cell>
          <cell r="J551">
            <v>38769</v>
          </cell>
          <cell r="K551">
            <v>9817500</v>
          </cell>
          <cell r="L551"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551" t="str">
            <v>見直しの余地があるもの</v>
          </cell>
          <cell r="N551" t="str">
            <v>競争入札に移行（１９年度から）</v>
          </cell>
          <cell r="P551" t="str">
            <v>民×</v>
          </cell>
          <cell r="Q551" t="str">
            <v>民</v>
          </cell>
          <cell r="S551" t="str">
            <v>民19①</v>
          </cell>
          <cell r="U551" t="str">
            <v>民</v>
          </cell>
          <cell r="X551" t="str">
            <v>①</v>
          </cell>
          <cell r="AA551">
            <v>1701592</v>
          </cell>
          <cell r="AB551">
            <v>1</v>
          </cell>
          <cell r="AC551" t="str">
            <v>17W643</v>
          </cell>
          <cell r="AD551" t="str">
            <v>無指定</v>
          </cell>
          <cell r="AE551" t="str">
            <v>法条</v>
          </cell>
          <cell r="AF551" t="str">
            <v>会計課調達室／サービス調達第３班</v>
          </cell>
          <cell r="AG551" t="str">
            <v>川畑</v>
          </cell>
        </row>
        <row r="552">
          <cell r="A552" t="str">
            <v>民553</v>
          </cell>
          <cell r="B552">
            <v>859</v>
          </cell>
          <cell r="C552" t="str">
            <v>ｶﾌﾞﾋﾀﾁｾｲｻｸ</v>
          </cell>
          <cell r="E552">
            <v>553</v>
          </cell>
          <cell r="F552" t="str">
            <v>株式会社日立製作所　</v>
          </cell>
          <cell r="G552" t="str">
            <v>東京都千代田区神田駿河台４－６</v>
          </cell>
          <cell r="H552" t="str">
            <v>「債権国報告システム改善」業務委嘱</v>
          </cell>
          <cell r="I552" t="str">
            <v>外務省大臣官房会計課長　上月豊久　東京都千代田区霞が関２－２－１</v>
          </cell>
          <cell r="J552">
            <v>38770</v>
          </cell>
          <cell r="K552">
            <v>8505000</v>
          </cell>
          <cell r="L552" t="str">
            <v>システムの開発業者が、自社製品やカスタマイズされた独自の機器、システムを使用しているため、その改修を行えるのは当該業者以外になく、他に競争を許さない（会計法第２９条の３第４項）。</v>
          </cell>
          <cell r="M552" t="str">
            <v>見直しの余地があるもの</v>
          </cell>
          <cell r="N552" t="str">
            <v>１８年度において当該事務・事業の委託等を行う予定のないもの</v>
          </cell>
          <cell r="P552" t="str">
            <v>民×</v>
          </cell>
          <cell r="Q552" t="str">
            <v>民</v>
          </cell>
          <cell r="S552" t="str">
            <v>民18×</v>
          </cell>
          <cell r="U552" t="str">
            <v>民</v>
          </cell>
          <cell r="W552" t="str">
            <v>×</v>
          </cell>
          <cell r="AA552">
            <v>1701593</v>
          </cell>
          <cell r="AB552">
            <v>1</v>
          </cell>
          <cell r="AC552" t="str">
            <v>17W653</v>
          </cell>
          <cell r="AD552" t="str">
            <v>無指定</v>
          </cell>
          <cell r="AE552" t="str">
            <v>経協計</v>
          </cell>
          <cell r="AF552" t="str">
            <v>会計課調達室／サービス調達第３班</v>
          </cell>
          <cell r="AG552" t="str">
            <v>川上</v>
          </cell>
        </row>
        <row r="553">
          <cell r="A553" t="str">
            <v>民554</v>
          </cell>
          <cell r="B553">
            <v>860</v>
          </cell>
          <cell r="C553" t="str">
            <v>ﾛｲﾔﾙﾊﾟｰｸ</v>
          </cell>
          <cell r="E553">
            <v>554</v>
          </cell>
          <cell r="F553" t="str">
            <v>ロイヤルパークホテル</v>
          </cell>
          <cell r="G553" t="str">
            <v>東京都中央区日本橋蠣殻町２－１－１</v>
          </cell>
          <cell r="H553" t="str">
            <v>在京アフリカ大使との会合・ケータリング契約</v>
          </cell>
          <cell r="I553" t="str">
            <v xml:space="preserve">
外務省大臣官房会計課長　上月豊久
東京都千代田区霞が関２－２－１</v>
          </cell>
          <cell r="J553">
            <v>38775</v>
          </cell>
          <cell r="K553">
            <v>1125715</v>
          </cell>
          <cell r="L553" t="str">
            <v>本件ケータリング業務の請負については国公賓等のレセプションにも対応可能な実績を有する業者である必要がある。これまでの実績に基づき数社より見積を招請し、業者を選定したもの（会計法第２９条の３第４項）。</v>
          </cell>
          <cell r="M553" t="str">
            <v>その他のもの</v>
          </cell>
          <cell r="N553" t="str">
            <v>随意契約によらざるを得ないもの</v>
          </cell>
          <cell r="P553" t="str">
            <v>民×</v>
          </cell>
          <cell r="Q553" t="str">
            <v>民</v>
          </cell>
          <cell r="S553" t="str">
            <v>民1</v>
          </cell>
          <cell r="U553" t="str">
            <v>民</v>
          </cell>
          <cell r="V553" t="str">
            <v>●</v>
          </cell>
          <cell r="AA553">
            <v>1701731</v>
          </cell>
          <cell r="AB553">
            <v>1</v>
          </cell>
          <cell r="AC553" t="str">
            <v>17P611</v>
          </cell>
          <cell r="AD553" t="str">
            <v>取扱注意</v>
          </cell>
          <cell r="AE553" t="str">
            <v>ア１</v>
          </cell>
          <cell r="AF553" t="str">
            <v>会計課調達室／サービス調達第２班</v>
          </cell>
          <cell r="AG553" t="str">
            <v>鈴木</v>
          </cell>
        </row>
        <row r="554">
          <cell r="A554" t="str">
            <v>民555</v>
          </cell>
          <cell r="B554">
            <v>861</v>
          </cell>
          <cell r="C554" t="str">
            <v>ｶﾌﾞｴﾇﾃｨﾃｨ</v>
          </cell>
          <cell r="E554">
            <v>555</v>
          </cell>
          <cell r="F554" t="str">
            <v>株式会社エヌ・ティ・ティ・アド</v>
          </cell>
          <cell r="G554" t="str">
            <v>東京都品川区上大崎３－１－１</v>
          </cell>
          <cell r="H554" t="str">
            <v>「Ｗｅｂ　Ｊａｐａｎ　ホームページ」サイト評価及び改善コンサルタント業務委嘱</v>
          </cell>
          <cell r="I554" t="str">
            <v>外務省大臣官房会計課長　上月豊久　東京都千代田区霞が関２－２－１</v>
          </cell>
          <cell r="J554">
            <v>38776</v>
          </cell>
          <cell r="K554">
            <v>1995000</v>
          </cell>
          <cell r="L55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54" t="str">
            <v>見直しの余地があるもの</v>
          </cell>
          <cell r="N554" t="str">
            <v>企画招請を実施（１８年度においても引き続き実施）</v>
          </cell>
          <cell r="P554" t="str">
            <v>民○</v>
          </cell>
          <cell r="Q554" t="str">
            <v>民</v>
          </cell>
          <cell r="R554" t="str">
            <v>○</v>
          </cell>
          <cell r="S554" t="str">
            <v>民18②</v>
          </cell>
          <cell r="U554" t="str">
            <v>民</v>
          </cell>
          <cell r="W554" t="str">
            <v>②</v>
          </cell>
          <cell r="AA554">
            <v>1701644</v>
          </cell>
          <cell r="AB554">
            <v>1</v>
          </cell>
          <cell r="AD554" t="str">
            <v>無指定</v>
          </cell>
          <cell r="AE554" t="str">
            <v>広文総</v>
          </cell>
          <cell r="AF554" t="str">
            <v>会計課調達室／サービス調達第１班</v>
          </cell>
          <cell r="AG554" t="str">
            <v>村松</v>
          </cell>
        </row>
        <row r="555">
          <cell r="A555" t="str">
            <v>民556</v>
          </cell>
          <cell r="B555">
            <v>862</v>
          </cell>
          <cell r="C555" t="str">
            <v>ｶﾌﾞﾌﾞﾝｶｺｳﾎﾞｳ</v>
          </cell>
          <cell r="E555">
            <v>556</v>
          </cell>
          <cell r="F555" t="str">
            <v>株式会社文化工房</v>
          </cell>
          <cell r="G555" t="str">
            <v>東京都港区六本木５－１０－３１</v>
          </cell>
          <cell r="H555" t="str">
            <v>「地球環境問題に対する日本の取り組み」パンフレットの作成</v>
          </cell>
          <cell r="I555" t="str">
            <v xml:space="preserve">
外務省大臣官房会計課長　上月豊久
東京都千代田区霞が関２－２－１</v>
          </cell>
          <cell r="J555">
            <v>38776</v>
          </cell>
          <cell r="K555">
            <v>1585500</v>
          </cell>
          <cell r="L555"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55" t="str">
            <v>見直しの余地があるもの</v>
          </cell>
          <cell r="N555" t="str">
            <v>１８年度以降において当該事務・事業の委託等を行う予定のないもの</v>
          </cell>
          <cell r="P555" t="str">
            <v>民○</v>
          </cell>
          <cell r="Q555" t="str">
            <v>民</v>
          </cell>
          <cell r="R555" t="str">
            <v>○</v>
          </cell>
          <cell r="S555" t="str">
            <v>民18×</v>
          </cell>
          <cell r="U555" t="str">
            <v>民</v>
          </cell>
          <cell r="W555" t="str">
            <v>×</v>
          </cell>
          <cell r="AA555">
            <v>1701625</v>
          </cell>
          <cell r="AB555">
            <v>1</v>
          </cell>
          <cell r="AC555" t="str">
            <v>17X408</v>
          </cell>
          <cell r="AD555" t="str">
            <v>無指定</v>
          </cell>
          <cell r="AE555" t="str">
            <v>報内</v>
          </cell>
          <cell r="AF555" t="str">
            <v>会計課調達室／サービス調達第１班</v>
          </cell>
          <cell r="AG555" t="str">
            <v>村松</v>
          </cell>
        </row>
        <row r="556">
          <cell r="A556" t="str">
            <v>民557</v>
          </cell>
          <cell r="B556">
            <v>863</v>
          </cell>
          <cell r="C556" t="str">
            <v>ﾆﾎﾝｶｼﾞｮ</v>
          </cell>
          <cell r="E556">
            <v>557</v>
          </cell>
          <cell r="F556" t="str">
            <v>日本加除出版株式会社</v>
          </cell>
          <cell r="G556" t="str">
            <v>東京都豊島区南長崎３－１６－６</v>
          </cell>
          <cell r="H556" t="str">
            <v>戸籍先例全文検索システム「全索」更新版の購入</v>
          </cell>
          <cell r="I556" t="str">
            <v xml:space="preserve">
外務省大臣官房会計課長　上月豊久
東京都千代田区霞が関２－２－１</v>
          </cell>
          <cell r="J556">
            <v>38776</v>
          </cell>
          <cell r="K556">
            <v>2688000</v>
          </cell>
          <cell r="L556" t="str">
            <v>当該刊行物の出版元から直接購入する契約であり、他に競争を許さない（会計法第２９条の３第４項）。</v>
          </cell>
          <cell r="M556" t="str">
            <v>その他のもの</v>
          </cell>
          <cell r="N556" t="str">
            <v>随意契約によらざるを得ないもの</v>
          </cell>
          <cell r="P556" t="str">
            <v>民×</v>
          </cell>
          <cell r="Q556" t="str">
            <v>民</v>
          </cell>
          <cell r="S556" t="str">
            <v>民1</v>
          </cell>
          <cell r="U556" t="str">
            <v>民</v>
          </cell>
          <cell r="V556" t="str">
            <v>●</v>
          </cell>
          <cell r="AA556">
            <v>1701718</v>
          </cell>
          <cell r="AB556">
            <v>1</v>
          </cell>
          <cell r="AC556" t="str">
            <v>17T629</v>
          </cell>
          <cell r="AD556" t="str">
            <v>無指定</v>
          </cell>
          <cell r="AE556" t="str">
            <v>領サ</v>
          </cell>
          <cell r="AF556" t="str">
            <v>会計課調達室／物品調達班</v>
          </cell>
          <cell r="AG556" t="str">
            <v>宮田</v>
          </cell>
          <cell r="AI556" t="str">
            <v>出版元からの書籍購入</v>
          </cell>
          <cell r="AJ556" t="str">
            <v>ニ（ニ）</v>
          </cell>
        </row>
        <row r="557">
          <cell r="A557" t="str">
            <v>民558</v>
          </cell>
          <cell r="B557">
            <v>864</v>
          </cell>
          <cell r="C557" t="str">
            <v>ｼﾝﾆｯﾃﾂｿﾘｭｰｼｮﾝ</v>
          </cell>
          <cell r="E557">
            <v>558</v>
          </cell>
          <cell r="F557" t="str">
            <v>新日鉄ソリューションズ株式会社</v>
          </cell>
          <cell r="G557" t="str">
            <v>東京都中央区新川２－２０－１５</v>
          </cell>
          <cell r="H557" t="str">
            <v>「省内ＬＡＮホームページ改善」ライセンス調達契約</v>
          </cell>
          <cell r="I557" t="str">
            <v xml:space="preserve">
外務省大臣官房会計課長　上月豊久
東京都千代田区霞が関２－２－１</v>
          </cell>
          <cell r="J557">
            <v>38776</v>
          </cell>
          <cell r="K557">
            <v>3013500</v>
          </cell>
          <cell r="L557" t="str">
            <v>本システムの開発を行った会社が同システムの保守を行うものであり、競争を許さない（会計法第２９条の３第４項）</v>
          </cell>
          <cell r="M557" t="str">
            <v>見直しの余地があるもの</v>
          </cell>
          <cell r="N557" t="str">
            <v>１８年度以降において当該事務・事業の委託等を行う予定のないもの</v>
          </cell>
          <cell r="P557" t="str">
            <v>民×</v>
          </cell>
          <cell r="Q557" t="str">
            <v>民</v>
          </cell>
          <cell r="S557" t="str">
            <v>民18×</v>
          </cell>
          <cell r="U557" t="str">
            <v>民</v>
          </cell>
          <cell r="W557" t="str">
            <v>×</v>
          </cell>
          <cell r="AA557">
            <v>1701627</v>
          </cell>
          <cell r="AB557">
            <v>1</v>
          </cell>
          <cell r="AC557" t="str">
            <v>17W656</v>
          </cell>
          <cell r="AD557" t="str">
            <v>無指定</v>
          </cell>
          <cell r="AE557" t="str">
            <v>領政</v>
          </cell>
          <cell r="AF557" t="str">
            <v>会計課調達室／サービス調達第２班</v>
          </cell>
          <cell r="AG557" t="str">
            <v>川上</v>
          </cell>
        </row>
        <row r="558">
          <cell r="A558" t="str">
            <v>民559</v>
          </cell>
          <cell r="B558">
            <v>865</v>
          </cell>
          <cell r="C558" t="str">
            <v>ﾆﾎﾝﾌｨﾙｺﾝ</v>
          </cell>
          <cell r="E558">
            <v>559</v>
          </cell>
          <cell r="F558" t="str">
            <v>日本フィルコン株式会社</v>
          </cell>
          <cell r="G558" t="str">
            <v>東京都稲城市大丸２２２０</v>
          </cell>
          <cell r="H558" t="str">
            <v>公邸用浄水器フィルターの購入</v>
          </cell>
          <cell r="I558" t="str">
            <v>外務省大臣官房会計課長　上月豊久　東京都千代田区霞が関２－２－１</v>
          </cell>
          <cell r="J558">
            <v>38777</v>
          </cell>
          <cell r="K558">
            <v>3864000</v>
          </cell>
          <cell r="L558" t="str">
            <v>在外公館公邸に設置された浄水器のフィルターを交換するものであり、浄水器本体は同社が特別に改良したものであるから他社の規格品を使用する事はできない。また、同社製品は卸売販売はされていない事から、同社と直接契約を行う必要がある（会計法第２９条の３第４項）。</v>
          </cell>
          <cell r="M558" t="str">
            <v>その他のもの</v>
          </cell>
          <cell r="N558" t="str">
            <v>随意契約によらざるを得ないもの</v>
          </cell>
          <cell r="P558" t="str">
            <v>民×</v>
          </cell>
          <cell r="Q558" t="str">
            <v>民</v>
          </cell>
          <cell r="S558" t="str">
            <v>民1</v>
          </cell>
          <cell r="U558" t="str">
            <v>民</v>
          </cell>
          <cell r="V558" t="str">
            <v>●</v>
          </cell>
          <cell r="AA558">
            <v>1701829</v>
          </cell>
          <cell r="AB558">
            <v>1</v>
          </cell>
          <cell r="AD558" t="str">
            <v>無指定</v>
          </cell>
          <cell r="AE558" t="str">
            <v>在</v>
          </cell>
          <cell r="AF558" t="str">
            <v>会計課調達室／物品調達班</v>
          </cell>
          <cell r="AG558" t="str">
            <v>加藤</v>
          </cell>
        </row>
        <row r="559">
          <cell r="A559" t="str">
            <v>民560</v>
          </cell>
          <cell r="B559">
            <v>866</v>
          </cell>
          <cell r="C559" t="str">
            <v>ｶﾌﾞｻｲ</v>
          </cell>
          <cell r="E559">
            <v>560</v>
          </cell>
          <cell r="F559" t="str">
            <v>株式会社サイマル・インターナショナル</v>
          </cell>
          <cell r="G559" t="str">
            <v>東京都港区虎ノ門１－２５－５</v>
          </cell>
          <cell r="H559" t="str">
            <v>通訳研修(仏、独、西、露、中）(３月分)</v>
          </cell>
          <cell r="I559" t="str">
            <v xml:space="preserve">
外務省大臣官房会計課長　上月豊久
東京都千代田区霞が関２－２－１</v>
          </cell>
          <cell r="J559">
            <v>38777</v>
          </cell>
          <cell r="K559">
            <v>1674750</v>
          </cell>
          <cell r="L559" t="str">
            <v>当省が必要とするレベルの通訳養成に十分な実績を有し、また、本件研修は数年に亘って実施する必要があることから同社との継続契約が不可欠である（会計法第２９条の３第４項）。</v>
          </cell>
          <cell r="M559" t="str">
            <v>見直しの余地があるもの</v>
          </cell>
          <cell r="N559" t="str">
            <v>企画招請または競争入札への移行を検討(平成１９年３月分より)</v>
          </cell>
          <cell r="P559" t="str">
            <v>民×</v>
          </cell>
          <cell r="Q559" t="str">
            <v>民</v>
          </cell>
          <cell r="S559" t="str">
            <v>民19①</v>
          </cell>
          <cell r="U559" t="str">
            <v>民</v>
          </cell>
          <cell r="X559" t="str">
            <v>①</v>
          </cell>
          <cell r="AA559">
            <v>1701626</v>
          </cell>
          <cell r="AB559">
            <v>1</v>
          </cell>
          <cell r="AC559" t="str">
            <v>17H176</v>
          </cell>
          <cell r="AD559" t="str">
            <v>無指定</v>
          </cell>
          <cell r="AE559" t="str">
            <v>人</v>
          </cell>
          <cell r="AF559" t="str">
            <v>会計課調達室／サービス調達第１班</v>
          </cell>
          <cell r="AG559" t="str">
            <v>村松</v>
          </cell>
        </row>
        <row r="560">
          <cell r="A560" t="str">
            <v>民561</v>
          </cell>
          <cell r="B560">
            <v>867</v>
          </cell>
          <cell r="C560" t="str">
            <v>ｶﾌﾞｴﾇﾃｨﾃｨﾄﾞｺﾓ</v>
          </cell>
          <cell r="E560">
            <v>561</v>
          </cell>
          <cell r="F560" t="str">
            <v>株式会社エヌ・ティ・ティ・ドコモ</v>
          </cell>
          <cell r="G560" t="str">
            <v>東京都千代田区永田町２－１１－１</v>
          </cell>
          <cell r="H560" t="str">
            <v>携帯電話有線化装置入替契約</v>
          </cell>
          <cell r="I560" t="str">
            <v>外務省大臣官房会計課長　上月豊久　東京都千代田区霞が関２－２－１</v>
          </cell>
          <cell r="J560">
            <v>38778</v>
          </cell>
          <cell r="K560">
            <v>14175000</v>
          </cell>
          <cell r="L560" t="str">
            <v>現有のＮＴＴドコモ社製の携帯電話専用の装置であり、同社からの直販でのみ購入が可能である事から他に競争を許さない（会計法第２９条の３第４項）。</v>
          </cell>
          <cell r="M560" t="str">
            <v>見直しの余地があるもの</v>
          </cell>
          <cell r="N560" t="str">
            <v>18年度において当該事務・事業の委託を行わないもの</v>
          </cell>
          <cell r="P560" t="str">
            <v>民×</v>
          </cell>
          <cell r="Q560" t="str">
            <v>民</v>
          </cell>
          <cell r="S560" t="str">
            <v>民18×</v>
          </cell>
          <cell r="U560" t="str">
            <v>民</v>
          </cell>
          <cell r="W560" t="str">
            <v>×</v>
          </cell>
          <cell r="AA560">
            <v>1701893</v>
          </cell>
          <cell r="AB560">
            <v>1</v>
          </cell>
          <cell r="AC560" t="str">
            <v>17W714</v>
          </cell>
          <cell r="AD560" t="str">
            <v>無指定</v>
          </cell>
          <cell r="AE560" t="str">
            <v>危管</v>
          </cell>
          <cell r="AF560" t="str">
            <v>会計課調達室／物品調達班</v>
          </cell>
          <cell r="AG560" t="str">
            <v>宮田</v>
          </cell>
        </row>
        <row r="561">
          <cell r="A561" t="str">
            <v>民562</v>
          </cell>
          <cell r="B561">
            <v>868</v>
          </cell>
          <cell r="C561" t="str">
            <v>ｶﾌﾞｷﾉ</v>
          </cell>
          <cell r="E561">
            <v>562</v>
          </cell>
          <cell r="F561" t="str">
            <v>株式会社紀伊国屋書店</v>
          </cell>
          <cell r="G561" t="str">
            <v>東京都渋谷区東３－１３－１１</v>
          </cell>
          <cell r="H561" t="str">
            <v>全国学校総覧他の購入</v>
          </cell>
          <cell r="I561" t="str">
            <v>外務省大臣官房会計課長　上月豊久　東京都千代田区霞が関２－２－１</v>
          </cell>
          <cell r="J561">
            <v>38778</v>
          </cell>
          <cell r="K561">
            <v>3518576</v>
          </cell>
          <cell r="L561" t="str">
            <v>一般競争入札を行ったが、入札に応じた業者がなかったことから見積招請を行った結果、最も低廉な価格を提示した同社と契約を行ったもの（予決令第２９条の２、予決令第９９条第２号）。</v>
          </cell>
          <cell r="M561" t="str">
            <v>見直しの余地があるもの</v>
          </cell>
          <cell r="N561" t="str">
            <v>競争入札へ移行（１８年度から予定）</v>
          </cell>
          <cell r="P561" t="str">
            <v>民×</v>
          </cell>
          <cell r="Q561" t="str">
            <v>民</v>
          </cell>
          <cell r="S561" t="str">
            <v>民18①</v>
          </cell>
          <cell r="U561" t="str">
            <v>民</v>
          </cell>
          <cell r="W561" t="str">
            <v>①</v>
          </cell>
          <cell r="AA561">
            <v>1701809</v>
          </cell>
          <cell r="AB561">
            <v>1</v>
          </cell>
          <cell r="AC561" t="str">
            <v>17X428</v>
          </cell>
          <cell r="AD561" t="str">
            <v xml:space="preserve"> </v>
          </cell>
          <cell r="AE561" t="str">
            <v>広文人</v>
          </cell>
          <cell r="AF561" t="str">
            <v>会計課調達室／物品調達班</v>
          </cell>
          <cell r="AG561" t="str">
            <v>宮田</v>
          </cell>
        </row>
        <row r="562">
          <cell r="A562" t="str">
            <v>民563</v>
          </cell>
          <cell r="B562">
            <v>869</v>
          </cell>
          <cell r="C562" t="str">
            <v>ｴﾇﾃｨﾃｨｺﾑｳｪｱ</v>
          </cell>
          <cell r="E562">
            <v>563</v>
          </cell>
          <cell r="F562" t="str">
            <v>エヌ・ティ・ティ・コムウェア株式会社</v>
          </cell>
          <cell r="G562" t="str">
            <v>東京都港区港南１－９－１</v>
          </cell>
          <cell r="H562" t="str">
            <v>在外経理システムのオンライン化等のためのシステム改造</v>
          </cell>
          <cell r="I562" t="str">
            <v>外務省大臣官房会計課長　上月豊久　東京都千代田区霞が関２－２－１</v>
          </cell>
          <cell r="J562">
            <v>38778</v>
          </cell>
          <cell r="K562">
            <v>32271750</v>
          </cell>
          <cell r="L562" t="str">
            <v>現在稼働中のシステムの改修を同システムの開発業者である契約相手先に委託するものであり、業務効率・費用面から考えて他に競争を許さない（会計法第２９条の３第４項、特定政令に該当）。</v>
          </cell>
          <cell r="M562" t="str">
            <v>見直しの余地があるもの</v>
          </cell>
          <cell r="N562" t="str">
            <v>１８年度において当該事務・事業の委託等を行う予定のないもの</v>
          </cell>
          <cell r="P562" t="str">
            <v>民×</v>
          </cell>
          <cell r="Q562" t="str">
            <v>民</v>
          </cell>
          <cell r="S562" t="str">
            <v>民18×</v>
          </cell>
          <cell r="U562" t="str">
            <v>民</v>
          </cell>
          <cell r="W562" t="str">
            <v>×</v>
          </cell>
          <cell r="AA562">
            <v>1701493</v>
          </cell>
          <cell r="AB562">
            <v>1</v>
          </cell>
          <cell r="AC562" t="str">
            <v>17W596</v>
          </cell>
          <cell r="AD562" t="str">
            <v>無指定</v>
          </cell>
          <cell r="AE562" t="str">
            <v>在</v>
          </cell>
          <cell r="AF562" t="str">
            <v>会計課調達室／サービス調達第３班</v>
          </cell>
          <cell r="AG562" t="str">
            <v>川畑</v>
          </cell>
        </row>
        <row r="563">
          <cell r="A563" t="str">
            <v>民564</v>
          </cell>
          <cell r="B563">
            <v>870</v>
          </cell>
          <cell r="C563" t="str">
            <v>ｶﾌﾞｼｰｲｰｼｰ</v>
          </cell>
          <cell r="E563">
            <v>564</v>
          </cell>
          <cell r="F563" t="str">
            <v>株式会社シーイーシー</v>
          </cell>
          <cell r="G563" t="str">
            <v>東京都渋谷区恵比寿南１－５－５</v>
          </cell>
          <cell r="H563" t="str">
            <v>「音声自動応答システム更新」業務委嘱</v>
          </cell>
          <cell r="I563" t="str">
            <v xml:space="preserve">
外務省大臣官房会計課長　上月豊久
東京都千代田区霞が関２－２－１</v>
          </cell>
          <cell r="J563">
            <v>38778</v>
          </cell>
          <cell r="K563">
            <v>3528000</v>
          </cell>
          <cell r="L563" t="str">
            <v>本システムの開発を行った会社が同システムの改修を行うものであり、競争を許さない（会計法第２９条の３第４項）。</v>
          </cell>
          <cell r="M563" t="str">
            <v>見直しの余地があるもの</v>
          </cell>
          <cell r="N563" t="str">
            <v>１８年度において当該事務・事業の委託等を行う予定のないもの</v>
          </cell>
          <cell r="P563" t="str">
            <v>民×</v>
          </cell>
          <cell r="Q563" t="str">
            <v>民</v>
          </cell>
          <cell r="S563" t="str">
            <v>民18×</v>
          </cell>
          <cell r="U563" t="str">
            <v>民</v>
          </cell>
          <cell r="W563" t="str">
            <v>×</v>
          </cell>
          <cell r="AA563">
            <v>1701890</v>
          </cell>
          <cell r="AB563">
            <v>1</v>
          </cell>
          <cell r="AC563" t="str">
            <v>17W735</v>
          </cell>
          <cell r="AD563" t="str">
            <v>無指定</v>
          </cell>
          <cell r="AE563" t="str">
            <v>総</v>
          </cell>
          <cell r="AF563" t="str">
            <v>会計課調達室／物品調達班</v>
          </cell>
          <cell r="AG563" t="str">
            <v>宮田</v>
          </cell>
        </row>
        <row r="564">
          <cell r="A564" t="str">
            <v>民565</v>
          </cell>
          <cell r="B564">
            <v>871</v>
          </cell>
          <cell r="C564" t="str">
            <v>ｱｲﾋﾞｰｴﾑ</v>
          </cell>
          <cell r="E564">
            <v>565</v>
          </cell>
          <cell r="F564" t="str">
            <v>アイ・ビー・エムコンサルティングサービス株式会社</v>
          </cell>
          <cell r="G564" t="str">
            <v>東京都千代田区丸の内２－４－１</v>
          </cell>
          <cell r="H564" t="str">
            <v>「ＩＴ広報業務・システム最適化計画策定支援」業務委嘱</v>
          </cell>
          <cell r="I564" t="str">
            <v xml:space="preserve">
外務省大臣官房会計課長　上月豊久
東京都千代田区霞が関２－２－１</v>
          </cell>
          <cell r="J564">
            <v>38778</v>
          </cell>
          <cell r="K564">
            <v>13965000</v>
          </cell>
          <cell r="L564"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64" t="str">
            <v>見直しの余地があるもの</v>
          </cell>
          <cell r="N564" t="str">
            <v>１８年度以降において当該事務・事業の委託等を行う予定のないもの</v>
          </cell>
          <cell r="P564" t="str">
            <v>民○</v>
          </cell>
          <cell r="Q564" t="str">
            <v>民</v>
          </cell>
          <cell r="R564" t="str">
            <v>○</v>
          </cell>
          <cell r="S564" t="str">
            <v>民18×</v>
          </cell>
          <cell r="U564" t="str">
            <v>民</v>
          </cell>
          <cell r="W564" t="str">
            <v>×</v>
          </cell>
          <cell r="AA564">
            <v>1701667</v>
          </cell>
          <cell r="AB564">
            <v>1</v>
          </cell>
          <cell r="AC564" t="str">
            <v>17W543</v>
          </cell>
          <cell r="AD564" t="str">
            <v>無指定</v>
          </cell>
          <cell r="AE564" t="str">
            <v>報内</v>
          </cell>
          <cell r="AF564" t="str">
            <v>会計課調達室／サービス調達第３班</v>
          </cell>
          <cell r="AG564" t="str">
            <v>川畑</v>
          </cell>
        </row>
        <row r="565">
          <cell r="A565" t="str">
            <v>民566</v>
          </cell>
          <cell r="B565">
            <v>872</v>
          </cell>
          <cell r="C565" t="str">
            <v>ｴﾇﾃｨﾃｨｺﾐｭﾆｹ</v>
          </cell>
          <cell r="E565">
            <v>566</v>
          </cell>
          <cell r="F565" t="str">
            <v>エヌ・ティ・ティコミュニケーションズ株式会社</v>
          </cell>
          <cell r="G565" t="str">
            <v>東京都千代田区内幸町１－１－６</v>
          </cell>
          <cell r="H565" t="str">
            <v>旅券システムＩＣ旅券対応の改修</v>
          </cell>
          <cell r="I565" t="str">
            <v xml:space="preserve">
外務省大臣官房会計課長　上月豊久
東京都千代田区霞が関２－２－１</v>
          </cell>
          <cell r="J565">
            <v>38778</v>
          </cell>
          <cell r="K565">
            <v>97098750</v>
          </cell>
          <cell r="L565" t="str">
            <v>システムの改修を同システムの開発業者である同社に委託するものであり、他に競争を許さない（会計法第２９条の３第４項、特定政令に該当）。</v>
          </cell>
          <cell r="M565" t="str">
            <v>見直しの余地があるもの</v>
          </cell>
          <cell r="N565" t="str">
            <v>１８年度以降において当該事務・事業の委託等を行う予定のないもの</v>
          </cell>
          <cell r="P565" t="str">
            <v>民×</v>
          </cell>
          <cell r="Q565" t="str">
            <v>民</v>
          </cell>
          <cell r="S565" t="str">
            <v>民18×</v>
          </cell>
          <cell r="U565" t="str">
            <v>民</v>
          </cell>
          <cell r="W565" t="str">
            <v>×</v>
          </cell>
          <cell r="AA565">
            <v>1701503</v>
          </cell>
          <cell r="AB565">
            <v>1</v>
          </cell>
          <cell r="AC565" t="str">
            <v>17M443</v>
          </cell>
          <cell r="AD565" t="str">
            <v>取扱注意</v>
          </cell>
          <cell r="AE565" t="str">
            <v>領旅</v>
          </cell>
          <cell r="AF565" t="str">
            <v>会計課調達室／サービス調達第３班</v>
          </cell>
          <cell r="AG565" t="str">
            <v>川畑</v>
          </cell>
        </row>
        <row r="566">
          <cell r="A566" t="str">
            <v>民567</v>
          </cell>
          <cell r="B566">
            <v>873</v>
          </cell>
          <cell r="C566" t="str">
            <v>国立大学</v>
          </cell>
          <cell r="E566">
            <v>567</v>
          </cell>
          <cell r="F566" t="str">
            <v>国立大学法人琉球大学</v>
          </cell>
          <cell r="G566" t="str">
            <v>沖縄県中頭郡西原町字千原１</v>
          </cell>
          <cell r="H566" t="str">
            <v>沖縄シンポジウム「島の自立と持続可能な開発を求めて～人材・環境・観光・経済発展～」開催業務委嘱</v>
          </cell>
          <cell r="I566" t="str">
            <v>外務省大臣官房会計課長　上月豊久　東京都千代田区霞が関２－２－１</v>
          </cell>
          <cell r="J566">
            <v>38779</v>
          </cell>
          <cell r="K566">
            <v>9334096</v>
          </cell>
          <cell r="L566" t="str">
            <v>本件シンポジウムは琉球大学との共催事業であり、同校との契約は不可欠である（会計法第２９条の３第４項）。</v>
          </cell>
          <cell r="M566" t="str">
            <v>その他のもの</v>
          </cell>
          <cell r="N566" t="str">
            <v>随意契約によらざるを得ないもの</v>
          </cell>
          <cell r="P566" t="str">
            <v>民×</v>
          </cell>
          <cell r="Q566" t="str">
            <v>民</v>
          </cell>
          <cell r="S566" t="str">
            <v>民1</v>
          </cell>
          <cell r="U566" t="str">
            <v>民</v>
          </cell>
          <cell r="V566" t="str">
            <v>●</v>
          </cell>
          <cell r="AA566">
            <v>1701666</v>
          </cell>
          <cell r="AB566">
            <v>2</v>
          </cell>
          <cell r="AC566" t="str">
            <v>17H217</v>
          </cell>
          <cell r="AD566" t="str">
            <v>無指定</v>
          </cell>
          <cell r="AE566" t="str">
            <v>広文総</v>
          </cell>
          <cell r="AF566" t="str">
            <v>会計課調達室／サービス調達第２班</v>
          </cell>
          <cell r="AG566" t="str">
            <v>西村</v>
          </cell>
        </row>
        <row r="567">
          <cell r="A567" t="str">
            <v>民568</v>
          </cell>
          <cell r="B567">
            <v>874</v>
          </cell>
          <cell r="C567" t="str">
            <v>ｶﾌﾞｴﾇﾃｨｰﾃｨｰ</v>
          </cell>
          <cell r="E567">
            <v>568</v>
          </cell>
          <cell r="F567" t="str">
            <v>株式会社ＮＴＴデータ</v>
          </cell>
          <cell r="G567" t="str">
            <v>東京都江東区豊洲３－３－３</v>
          </cell>
          <cell r="H567" t="str">
            <v>外務省身分証明書・入退庁管理システム用ＩＣカードの購入</v>
          </cell>
          <cell r="I567" t="str">
            <v>外務省大臣官房会計課長　上月豊久　東京都千代田区霞が関２－２－１</v>
          </cell>
          <cell r="J567">
            <v>38782</v>
          </cell>
          <cell r="K567">
            <v>3960600</v>
          </cell>
          <cell r="L567" t="str">
            <v>一般競争入札で導入したシステムを利用するためのＩＣカードの追加購入であり、同社が独自に開発したシステムであることからこれ以外のカードを使用することはできず、他に競争を許さない（会計法第２９条の３第４項）。</v>
          </cell>
          <cell r="M567" t="str">
            <v>見直しの余地があるもの</v>
          </cell>
          <cell r="N567" t="str">
            <v>競争入札に移行を検討（設備の入替時において実施を検討）</v>
          </cell>
          <cell r="P567" t="str">
            <v>民×</v>
          </cell>
          <cell r="Q567" t="str">
            <v>民</v>
          </cell>
          <cell r="S567" t="str">
            <v>民21①</v>
          </cell>
          <cell r="U567" t="str">
            <v>民</v>
          </cell>
          <cell r="Z567" t="str">
            <v>①</v>
          </cell>
          <cell r="AA567">
            <v>1701879</v>
          </cell>
          <cell r="AB567">
            <v>1</v>
          </cell>
          <cell r="AC567" t="str">
            <v>17P696</v>
          </cell>
          <cell r="AD567" t="str">
            <v>無指定</v>
          </cell>
          <cell r="AE567" t="str">
            <v>会</v>
          </cell>
          <cell r="AF567" t="str">
            <v>会計課管理室／管理班</v>
          </cell>
          <cell r="AG567" t="str">
            <v>風戸</v>
          </cell>
        </row>
        <row r="568">
          <cell r="A568" t="str">
            <v>民569</v>
          </cell>
          <cell r="B568">
            <v>875</v>
          </cell>
          <cell r="C568" t="str">
            <v>ﾌｼﾞﾂｳ</v>
          </cell>
          <cell r="E568">
            <v>569</v>
          </cell>
          <cell r="F568" t="str">
            <v>富士通株式会社</v>
          </cell>
          <cell r="G568" t="str">
            <v>東京都千代田区丸の内１－６－１</v>
          </cell>
          <cell r="H568" t="str">
            <v>「在留届電子届出システム改修」業務委嘱</v>
          </cell>
          <cell r="I568" t="str">
            <v xml:space="preserve">
外務省大臣官房会計課長　上月豊久
東京都千代田区霞が関２－２－１</v>
          </cell>
          <cell r="J568">
            <v>38782</v>
          </cell>
          <cell r="K568">
            <v>13059648</v>
          </cell>
          <cell r="L568" t="str">
            <v>システムの開発業者が、自社製品やカスタマイズされた独自の機器、システムを使用しているため、その改修（機能追加作業）を行えるのは当該業者以外になく、他に競争を許さない（会計法第２９条の３第４項）。</v>
          </cell>
          <cell r="M568" t="str">
            <v>見直しの余地があるもの</v>
          </cell>
          <cell r="N568" t="str">
            <v>１８年度において当該事務・事業の委託等を行う予定のないもの</v>
          </cell>
          <cell r="P568" t="str">
            <v>民×</v>
          </cell>
          <cell r="Q568" t="str">
            <v>民</v>
          </cell>
          <cell r="S568" t="str">
            <v>民18×</v>
          </cell>
          <cell r="U568" t="str">
            <v>民</v>
          </cell>
          <cell r="W568" t="str">
            <v>×</v>
          </cell>
          <cell r="AA568">
            <v>1701669</v>
          </cell>
          <cell r="AB568">
            <v>1</v>
          </cell>
          <cell r="AC568" t="str">
            <v>17W728</v>
          </cell>
          <cell r="AD568" t="str">
            <v>取扱注意</v>
          </cell>
          <cell r="AE568" t="str">
            <v>領政</v>
          </cell>
          <cell r="AF568" t="str">
            <v>会計課調達室／サービス調達第３班</v>
          </cell>
          <cell r="AG568" t="str">
            <v>川上</v>
          </cell>
        </row>
        <row r="569">
          <cell r="A569" t="str">
            <v>民570</v>
          </cell>
          <cell r="B569">
            <v>876</v>
          </cell>
          <cell r="C569" t="str">
            <v>ｶﾌﾞﾆﾎﾝﾃﾚﾋﾞ</v>
          </cell>
          <cell r="E569">
            <v>570</v>
          </cell>
          <cell r="F569" t="str">
            <v>株式会社日本テレビビデオ</v>
          </cell>
          <cell r="G569" t="str">
            <v>東京都千代田区二番町４　</v>
          </cell>
          <cell r="H569" t="str">
            <v>「ＩＣパスポート広報動画制作」業務委嘱</v>
          </cell>
          <cell r="I569" t="str">
            <v xml:space="preserve">
外務省大臣官房会計課長　上月豊久
東京都千代田区霞が関２－２－１</v>
          </cell>
          <cell r="J569">
            <v>38784</v>
          </cell>
          <cell r="K569">
            <v>1995000</v>
          </cell>
          <cell r="L569"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69" t="str">
            <v>見直しの余地があるもの</v>
          </cell>
          <cell r="N569" t="str">
            <v>１８年度以降において当該事務・事業の委託等を行う予定のないもの</v>
          </cell>
          <cell r="P569" t="str">
            <v>民○</v>
          </cell>
          <cell r="Q569" t="str">
            <v>民</v>
          </cell>
          <cell r="R569" t="str">
            <v>○</v>
          </cell>
          <cell r="S569" t="str">
            <v>民18×</v>
          </cell>
          <cell r="U569" t="str">
            <v>民</v>
          </cell>
          <cell r="W569" t="str">
            <v>×</v>
          </cell>
          <cell r="AA569">
            <v>1701828</v>
          </cell>
          <cell r="AB569">
            <v>1</v>
          </cell>
          <cell r="AC569" t="str">
            <v>17X410</v>
          </cell>
          <cell r="AD569" t="str">
            <v>無指定</v>
          </cell>
          <cell r="AE569" t="str">
            <v>報内</v>
          </cell>
          <cell r="AF569" t="str">
            <v>会計課調達室／サービス調達第１班</v>
          </cell>
          <cell r="AG569" t="str">
            <v>村松</v>
          </cell>
        </row>
        <row r="570">
          <cell r="A570" t="str">
            <v>民571</v>
          </cell>
          <cell r="B570">
            <v>877</v>
          </cell>
          <cell r="C570" t="str">
            <v>ｴﾇﾃｨﾃｨｰﾗｰﾆﾝｸﾞ</v>
          </cell>
          <cell r="E570">
            <v>571</v>
          </cell>
          <cell r="F570" t="str">
            <v>ＮＴＴラーニングシステムズ株式会社</v>
          </cell>
          <cell r="G570" t="str">
            <v>東京都港区南麻布１－６－１５</v>
          </cell>
          <cell r="H570" t="str">
            <v>「外務省ホームページ改訂」業務委嘱</v>
          </cell>
          <cell r="I570" t="str">
            <v xml:space="preserve">
外務省大臣官房会計課長　上月豊久
東京都千代田区霞が関２－２－１</v>
          </cell>
          <cell r="J570">
            <v>38786</v>
          </cell>
          <cell r="K570">
            <v>8787240</v>
          </cell>
          <cell r="L570" t="str">
            <v>外務省ＨＰの運用業務は現在同社が請け負っており、システムの改修・改善は同社のサーバ上の作業であるため他の業者への委嘱はできない（会計法第２９条の３第４項）。</v>
          </cell>
          <cell r="M570" t="str">
            <v>見直しの余地があるもの</v>
          </cell>
          <cell r="N570" t="str">
            <v>１８年度以降において当該事務・事業の委託等を行う予定のないもの</v>
          </cell>
          <cell r="P570" t="str">
            <v>民×</v>
          </cell>
          <cell r="Q570" t="str">
            <v>民</v>
          </cell>
          <cell r="S570" t="str">
            <v>民18×</v>
          </cell>
          <cell r="U570" t="str">
            <v>民</v>
          </cell>
          <cell r="W570" t="str">
            <v>×</v>
          </cell>
          <cell r="AA570">
            <v>1701683</v>
          </cell>
          <cell r="AB570">
            <v>1</v>
          </cell>
          <cell r="AC570" t="str">
            <v>17W621</v>
          </cell>
          <cell r="AD570" t="str">
            <v>無指定</v>
          </cell>
          <cell r="AE570" t="str">
            <v>報内</v>
          </cell>
          <cell r="AF570" t="str">
            <v>会計課調達室／サービス調達第１班</v>
          </cell>
          <cell r="AG570" t="str">
            <v>村松</v>
          </cell>
        </row>
        <row r="571">
          <cell r="A571" t="str">
            <v>民572</v>
          </cell>
          <cell r="B571">
            <v>878</v>
          </cell>
          <cell r="C571" t="str">
            <v>ｶﾌﾞｺﾝﾍﾞﾝｼｮﾝ</v>
          </cell>
          <cell r="E571">
            <v>572</v>
          </cell>
          <cell r="F571" t="str">
            <v>株式会社　コンベンションリンケージ</v>
          </cell>
          <cell r="G571" t="str">
            <v>東京都千代田区三番町２</v>
          </cell>
          <cell r="H571" t="str">
            <v>新日中友好２１世紀委員会第４回会合にかかる経費の支出について</v>
          </cell>
          <cell r="I571" t="str">
            <v>外務省大臣官房会計課長　上月豊久　東京都千代田区霞が関２－２－１</v>
          </cell>
          <cell r="J571">
            <v>38786</v>
          </cell>
          <cell r="K571">
            <v>9439330</v>
          </cell>
          <cell r="L571" t="str">
            <v>本件会合を実施するにあたり、日程を公表することは極めて機微であるため、日程・仕様を秘匿とすることを条件とした上で国際会議運営実績を有する複数業者による見積もりあわせを行った（会計法第２９条の３第５項）</v>
          </cell>
          <cell r="M571" t="str">
            <v>その他のもの</v>
          </cell>
          <cell r="N571" t="str">
            <v>随意契約によらざるを得ないもの</v>
          </cell>
          <cell r="P571" t="str">
            <v>民×</v>
          </cell>
          <cell r="Q571" t="str">
            <v>民</v>
          </cell>
          <cell r="S571" t="str">
            <v>民1</v>
          </cell>
          <cell r="U571" t="str">
            <v>民</v>
          </cell>
          <cell r="V571" t="str">
            <v>●</v>
          </cell>
          <cell r="AA571">
            <v>1701938</v>
          </cell>
          <cell r="AB571">
            <v>1</v>
          </cell>
          <cell r="AC571" t="str">
            <v>17H266</v>
          </cell>
          <cell r="AD571" t="str">
            <v>秘</v>
          </cell>
          <cell r="AE571" t="str">
            <v>亜中</v>
          </cell>
          <cell r="AF571" t="str">
            <v>会計課調達室／サービス調達第２班</v>
          </cell>
          <cell r="AG571" t="str">
            <v>荒井</v>
          </cell>
        </row>
        <row r="572">
          <cell r="A572" t="str">
            <v>民573</v>
          </cell>
          <cell r="B572">
            <v>879</v>
          </cell>
          <cell r="C572" t="str">
            <v>ｶﾌﾞﾃﾞﾝﾂｳ</v>
          </cell>
          <cell r="E572">
            <v>573</v>
          </cell>
          <cell r="F572" t="str">
            <v>株式会社電通</v>
          </cell>
          <cell r="G572" t="str">
            <v>東京都港区東新橋１－８－１</v>
          </cell>
          <cell r="H572" t="str">
            <v>「日韓の市民交流と相互理解の促進に関する提言」報告書の作成</v>
          </cell>
          <cell r="I572" t="str">
            <v xml:space="preserve">
外務省大臣官房長　塩尻孝二郎
東京都千代田区霞が関２－２－１</v>
          </cell>
          <cell r="J572">
            <v>38789</v>
          </cell>
          <cell r="K572">
            <v>1980883</v>
          </cell>
          <cell r="L572" t="str">
            <v>契約相手先には「日韓友情年」における各種行事の運営事務局がおかれ、事務局メンバーは同社員を中心として構成されていた。今回の契約目的に鑑み当方で求める提言を行う事ができるのはこれまで培った人脈・ノウハウが蓄積されている同社の他になく他に競争を許さない（会計法第２９条の３第４項）。</v>
          </cell>
          <cell r="M572" t="str">
            <v>見直しの余地があるもの</v>
          </cell>
          <cell r="N572" t="str">
            <v>１８年度以降において当該事務・事業の委託等を行う予定のないもの</v>
          </cell>
          <cell r="P572" t="str">
            <v>民×</v>
          </cell>
          <cell r="Q572" t="str">
            <v>民</v>
          </cell>
          <cell r="S572" t="str">
            <v>民18×</v>
          </cell>
          <cell r="U572" t="str">
            <v>民</v>
          </cell>
          <cell r="W572" t="str">
            <v>×</v>
          </cell>
          <cell r="AA572">
            <v>1701710</v>
          </cell>
          <cell r="AB572">
            <v>1</v>
          </cell>
          <cell r="AC572" t="str">
            <v>17H172</v>
          </cell>
          <cell r="AD572" t="str">
            <v>取扱注意</v>
          </cell>
          <cell r="AE572" t="str">
            <v>亜北</v>
          </cell>
          <cell r="AF572" t="str">
            <v>会計課調達室／サービス調達第１班</v>
          </cell>
          <cell r="AG572" t="str">
            <v>村松</v>
          </cell>
        </row>
        <row r="573">
          <cell r="A573" t="str">
            <v>民574</v>
          </cell>
          <cell r="B573">
            <v>880</v>
          </cell>
          <cell r="C573" t="str">
            <v>ｻﾞｲｶﾝｻｲ</v>
          </cell>
          <cell r="E573">
            <v>574</v>
          </cell>
          <cell r="F573" t="str">
            <v>財団法人関西社会経済研究所</v>
          </cell>
          <cell r="G573" t="str">
            <v>大阪府大阪市北区中之島６－２－２７</v>
          </cell>
          <cell r="H573" t="str">
            <v>太平洋経済展望国際専門家会合（構造問題部門及び短期予測部門）の運営</v>
          </cell>
          <cell r="I573" t="str">
            <v xml:space="preserve">
外務省大臣官房長　塩尻孝二郎
東京都千代田区霞が関２－２－１</v>
          </cell>
          <cell r="J573">
            <v>38790</v>
          </cell>
          <cell r="K573">
            <v>7171518</v>
          </cell>
          <cell r="L573" t="str">
            <v>契約相手先は本件プロジェクト立ち上げ時より同所内に事務局を設置し参加各国との連絡調整業務を行ってきているところ、今次会合運営においても同事務局への業務委嘱は不可欠であり競争を許さない（会計法第２９条の３第４項）。</v>
          </cell>
          <cell r="M573" t="str">
            <v>見直しの余地があるもの</v>
          </cell>
          <cell r="N573" t="str">
            <v>公募又は企画招請実施（１９年度以降）</v>
          </cell>
          <cell r="P573" t="str">
            <v>民×</v>
          </cell>
          <cell r="Q573" t="str">
            <v>民</v>
          </cell>
          <cell r="S573" t="str">
            <v>民19②</v>
          </cell>
          <cell r="U573" t="str">
            <v>民</v>
          </cell>
          <cell r="X573" t="str">
            <v>②</v>
          </cell>
          <cell r="AA573">
            <v>1701865</v>
          </cell>
          <cell r="AB573">
            <v>1</v>
          </cell>
          <cell r="AC573" t="str">
            <v>17T743</v>
          </cell>
          <cell r="AD573" t="str">
            <v>無指定</v>
          </cell>
          <cell r="AE573" t="str">
            <v>経ア太</v>
          </cell>
          <cell r="AF573" t="str">
            <v>会計課調達室／サービス調達第２班</v>
          </cell>
          <cell r="AG573" t="str">
            <v>田中</v>
          </cell>
        </row>
        <row r="574">
          <cell r="A574" t="str">
            <v>民575</v>
          </cell>
          <cell r="B574">
            <v>881</v>
          </cell>
          <cell r="C574" t="str">
            <v>ﾎｯﾎﾟｳﾖﾝﾄｳ</v>
          </cell>
          <cell r="E574">
            <v>575</v>
          </cell>
          <cell r="F574" t="str">
            <v>北方四島交流北海道推進委員会</v>
          </cell>
          <cell r="G574" t="str">
            <v>北海道札幌市中央区北三条西６</v>
          </cell>
          <cell r="H574" t="str">
            <v>「北方四島交流代表者間協議事業」業務委嘱</v>
          </cell>
          <cell r="I574" t="str">
            <v xml:space="preserve">
外務省大臣官房長　塩尻孝二郎
東京都千代田区霞が関２－２－１</v>
          </cell>
          <cell r="J574">
            <v>38791</v>
          </cell>
          <cell r="K574">
            <v>3411174</v>
          </cell>
          <cell r="L574" t="str">
            <v>契約相手先は北海道内における四島交流事業を実施するため、北海道庁を始め地元根室管内の自治体、北方領土返還運動団体が構成団体となり設立した団体である。四島在住ロシア人を招聘する北海道受け入れ事業が円滑に行われるためには北海道全体として同事業に取り組む事が必要であるが、かかる事業が実施可能な団体は他に存在しない。従って本事業は当該団体と協力して実施することが政策上不可欠である（会計法第２９条の３第４項）。</v>
          </cell>
          <cell r="M574" t="str">
            <v>その他のもの</v>
          </cell>
          <cell r="N574" t="str">
            <v>随意契約によらざるを得ないもの</v>
          </cell>
          <cell r="P574" t="str">
            <v>民×</v>
          </cell>
          <cell r="Q574" t="str">
            <v>民</v>
          </cell>
          <cell r="S574" t="str">
            <v>民1</v>
          </cell>
          <cell r="U574" t="str">
            <v>民</v>
          </cell>
          <cell r="V574" t="str">
            <v>●</v>
          </cell>
          <cell r="AA574">
            <v>1701864</v>
          </cell>
          <cell r="AB574">
            <v>1</v>
          </cell>
          <cell r="AC574" t="str">
            <v>17H241</v>
          </cell>
          <cell r="AD574" t="str">
            <v>無指定</v>
          </cell>
          <cell r="AE574" t="str">
            <v>欧ロ</v>
          </cell>
          <cell r="AF574" t="str">
            <v>会計課調達室／サービス調達第２班</v>
          </cell>
          <cell r="AG574" t="str">
            <v>田中</v>
          </cell>
          <cell r="AI574" t="str">
            <v>行政目的を達成するために不可欠な業務を提供することが可能な者から提供を受けるもの</v>
          </cell>
          <cell r="AJ574" t="str">
            <v>ニ（ヘ）
に準ずる</v>
          </cell>
        </row>
        <row r="575">
          <cell r="A575" t="str">
            <v>民576</v>
          </cell>
          <cell r="B575">
            <v>882</v>
          </cell>
          <cell r="C575" t="str">
            <v>ﾌｼﾞﾂｳ</v>
          </cell>
          <cell r="E575">
            <v>576</v>
          </cell>
          <cell r="F575" t="str">
            <v>富士通株式会社</v>
          </cell>
          <cell r="G575" t="str">
            <v>東京都千代田区丸の内１－６－１</v>
          </cell>
          <cell r="H575" t="str">
            <v>「外国公館等情報システム開発」業務委嘱</v>
          </cell>
          <cell r="I575" t="str">
            <v>外務省大臣官房会計課長　上月豊久　東京都千代田区霞が関２－２－１</v>
          </cell>
          <cell r="J575">
            <v>38792</v>
          </cell>
          <cell r="K575">
            <v>5418000</v>
          </cell>
          <cell r="L575" t="str">
            <v>システムの開発業者が、自社製品やカスタマイズされた独自の機器、システムを使用しているため、その保守・運用・改修等を行えるのは当該業者以外になく、他に競争を許さない（会計法第２９条の３第４項）。</v>
          </cell>
          <cell r="M575" t="str">
            <v>見直しの余地があるもの</v>
          </cell>
          <cell r="N575" t="str">
            <v>１８年度以降において当該事務・事業の委託等を行う予定のないもの</v>
          </cell>
          <cell r="P575" t="str">
            <v>民×</v>
          </cell>
          <cell r="Q575" t="str">
            <v>民</v>
          </cell>
          <cell r="S575" t="str">
            <v>民18×</v>
          </cell>
          <cell r="U575" t="str">
            <v>民</v>
          </cell>
          <cell r="W575" t="str">
            <v>×</v>
          </cell>
          <cell r="AA575">
            <v>1701751</v>
          </cell>
          <cell r="AB575">
            <v>1</v>
          </cell>
          <cell r="AC575" t="str">
            <v>17W654</v>
          </cell>
          <cell r="AD575" t="str">
            <v>無指定</v>
          </cell>
          <cell r="AE575" t="str">
            <v>儀</v>
          </cell>
          <cell r="AF575" t="str">
            <v>会計課調達室／サービス調達第３班</v>
          </cell>
          <cell r="AG575" t="str">
            <v>川上</v>
          </cell>
        </row>
        <row r="576">
          <cell r="A576" t="str">
            <v>民577</v>
          </cell>
          <cell r="B576">
            <v>883</v>
          </cell>
          <cell r="C576" t="str">
            <v>ﾌﾞﾝｼｮｳﾄﾞｳｲﾝｻﾂ</v>
          </cell>
          <cell r="E576">
            <v>577</v>
          </cell>
          <cell r="F576" t="str">
            <v>文祥堂印刷株式会社</v>
          </cell>
          <cell r="G576" t="str">
            <v>東京都港区三田５－３－７</v>
          </cell>
          <cell r="H576" t="str">
            <v>「日本の軍縮・不拡散外交」パンフレットの作成</v>
          </cell>
          <cell r="I576" t="str">
            <v xml:space="preserve">
外務省大臣官房長　塩尻孝二郎
東京都千代田区霞が関２－２－１</v>
          </cell>
          <cell r="J576">
            <v>38792</v>
          </cell>
          <cell r="K576">
            <v>1942500</v>
          </cell>
          <cell r="L576"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76" t="str">
            <v>見直しの余地があるもの</v>
          </cell>
          <cell r="N576" t="str">
            <v>１８年度において当該事務・事業の委託等を行う予定のないもの</v>
          </cell>
          <cell r="P576" t="str">
            <v>民○</v>
          </cell>
          <cell r="Q576" t="str">
            <v>民</v>
          </cell>
          <cell r="R576" t="str">
            <v>○</v>
          </cell>
          <cell r="S576" t="str">
            <v>民18×</v>
          </cell>
          <cell r="U576" t="str">
            <v>民</v>
          </cell>
          <cell r="W576" t="str">
            <v>×</v>
          </cell>
          <cell r="AA576">
            <v>1701756</v>
          </cell>
          <cell r="AB576">
            <v>1</v>
          </cell>
          <cell r="AC576" t="str">
            <v>17T334</v>
          </cell>
          <cell r="AD576" t="str">
            <v>無指定</v>
          </cell>
          <cell r="AE576" t="str">
            <v>軍軍</v>
          </cell>
          <cell r="AF576" t="str">
            <v>会計課調達室／サービス調達第１班</v>
          </cell>
          <cell r="AG576" t="str">
            <v>村松</v>
          </cell>
        </row>
        <row r="577">
          <cell r="A577" t="str">
            <v>民578</v>
          </cell>
          <cell r="B577">
            <v>884</v>
          </cell>
          <cell r="C577" t="str">
            <v>ｶﾌﾞﾌﾞﾝｶｺｳﾎﾞｳ</v>
          </cell>
          <cell r="E577">
            <v>578</v>
          </cell>
          <cell r="F577" t="str">
            <v>株式会社文化工房</v>
          </cell>
          <cell r="G577" t="str">
            <v>東京都港区六本木５－１０－３１</v>
          </cell>
          <cell r="H577" t="str">
            <v>「日本海呼称広報動画制作」業務委嘱</v>
          </cell>
          <cell r="I577" t="str">
            <v xml:space="preserve">
外務省大臣官房長　塩尻孝二郎
東京都千代田区霞が関２－２－１</v>
          </cell>
          <cell r="J577">
            <v>38792</v>
          </cell>
          <cell r="K577">
            <v>3832500</v>
          </cell>
          <cell r="L577"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77" t="str">
            <v>見直しの余地があるもの</v>
          </cell>
          <cell r="N577" t="str">
            <v>１８年度以降において当該事務・事業の委託等を行う予定のないもの</v>
          </cell>
          <cell r="P577" t="str">
            <v>民○</v>
          </cell>
          <cell r="Q577" t="str">
            <v>民</v>
          </cell>
          <cell r="R577" t="str">
            <v>○</v>
          </cell>
          <cell r="S577" t="str">
            <v>民18×</v>
          </cell>
          <cell r="U577" t="str">
            <v>民</v>
          </cell>
          <cell r="W577" t="str">
            <v>×</v>
          </cell>
          <cell r="AA577">
            <v>1701747</v>
          </cell>
          <cell r="AB577">
            <v>1</v>
          </cell>
          <cell r="AC577" t="str">
            <v>17W581</v>
          </cell>
          <cell r="AD577" t="str">
            <v>取扱注意</v>
          </cell>
          <cell r="AE577" t="str">
            <v>報内</v>
          </cell>
          <cell r="AF577" t="str">
            <v>会計課調達室／サービス調達第１班</v>
          </cell>
          <cell r="AG577" t="str">
            <v>村松</v>
          </cell>
        </row>
        <row r="578">
          <cell r="A578" t="str">
            <v>民579</v>
          </cell>
          <cell r="B578">
            <v>885</v>
          </cell>
          <cell r="C578" t="str">
            <v>ｴﾇﾃｨﾃｨｰﾗｰﾆﾝｸﾞ</v>
          </cell>
          <cell r="E578">
            <v>579</v>
          </cell>
          <cell r="F578" t="str">
            <v>ＮＴＴラーニングシステムズ株式会社</v>
          </cell>
          <cell r="G578" t="str">
            <v>東京都港区南麻布１－６－１５</v>
          </cell>
          <cell r="H578" t="str">
            <v>「中東諸国政策広報テレビ番組の制作・買い上げ」業務委嘱</v>
          </cell>
          <cell r="I578" t="str">
            <v>外務省大臣官房会計課長　上月豊久　東京都千代田区霞が関２－２－１</v>
          </cell>
          <cell r="J578">
            <v>38798</v>
          </cell>
          <cell r="K578">
            <v>9990225</v>
          </cell>
          <cell r="L578"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78" t="str">
            <v>見直しの余地があるもの</v>
          </cell>
          <cell r="N578" t="str">
            <v>１８年度において当該事務・事業の委託を行う予定なし</v>
          </cell>
          <cell r="P578" t="str">
            <v>民○</v>
          </cell>
          <cell r="Q578" t="str">
            <v>民</v>
          </cell>
          <cell r="R578" t="str">
            <v>○</v>
          </cell>
          <cell r="S578" t="str">
            <v>民18×</v>
          </cell>
          <cell r="U578" t="str">
            <v>民</v>
          </cell>
          <cell r="W578" t="str">
            <v>×</v>
          </cell>
          <cell r="AA578">
            <v>1701854</v>
          </cell>
          <cell r="AB578">
            <v>1</v>
          </cell>
          <cell r="AC578" t="str">
            <v>17X521</v>
          </cell>
          <cell r="AD578" t="str">
            <v>無指定</v>
          </cell>
          <cell r="AE578" t="str">
            <v>広文総</v>
          </cell>
          <cell r="AF578" t="str">
            <v>会計課調達室／サービス調達第１班</v>
          </cell>
          <cell r="AG578" t="str">
            <v>村松</v>
          </cell>
        </row>
        <row r="579">
          <cell r="A579" t="str">
            <v>民580</v>
          </cell>
          <cell r="B579">
            <v>886</v>
          </cell>
          <cell r="C579" t="str">
            <v>ﾁｭｳｶﾞｲｾｲﾔｸ</v>
          </cell>
          <cell r="E579">
            <v>580</v>
          </cell>
          <cell r="F579" t="str">
            <v>中外製薬株式会社</v>
          </cell>
          <cell r="G579" t="str">
            <v>東京都中央区日本橋室町２－１－１</v>
          </cell>
          <cell r="H579" t="str">
            <v>抗インフルエンザウィルス薬購入</v>
          </cell>
          <cell r="I579" t="str">
            <v xml:space="preserve">
外務省大臣官房会計課長　林肇
東京都千代田区霞が関２－２－１</v>
          </cell>
          <cell r="J579">
            <v>38798</v>
          </cell>
          <cell r="K579">
            <v>231853058</v>
          </cell>
          <cell r="L579" t="str">
            <v>契約先が国内唯一の販売元であり、一度に大量の調達が可能なのは同社のみである事から競争を許さない（会計法第２９条の３第４項、特定政令に該当）。</v>
          </cell>
          <cell r="M579" t="str">
            <v>見直しの余地があるもの</v>
          </cell>
          <cell r="N579" t="str">
            <v>18年度において当該事務・事業の委託を行わないもの</v>
          </cell>
          <cell r="P579" t="str">
            <v>民×</v>
          </cell>
          <cell r="Q579" t="str">
            <v>民</v>
          </cell>
          <cell r="S579" t="str">
            <v>民18×</v>
          </cell>
          <cell r="U579" t="str">
            <v>民</v>
          </cell>
          <cell r="W579" t="str">
            <v>×</v>
          </cell>
          <cell r="AA579">
            <v>1701959</v>
          </cell>
          <cell r="AB579">
            <v>1</v>
          </cell>
          <cell r="AD579" t="str">
            <v>無指定</v>
          </cell>
          <cell r="AE579" t="str">
            <v>領政</v>
          </cell>
          <cell r="AF579" t="str">
            <v>会計課調達室／物品調達班</v>
          </cell>
          <cell r="AG579" t="str">
            <v>宮田</v>
          </cell>
        </row>
        <row r="580">
          <cell r="A580" t="str">
            <v>民581</v>
          </cell>
          <cell r="B580">
            <v>887</v>
          </cell>
          <cell r="C580" t="str">
            <v>ｶﾌﾞｴﾇｴﾁｹｰ</v>
          </cell>
          <cell r="E580">
            <v>581</v>
          </cell>
          <cell r="F580" t="str">
            <v>株式会社ＮＨＫプロモーション</v>
          </cell>
          <cell r="G580" t="str">
            <v>東京都渋谷区神山町５－５</v>
          </cell>
          <cell r="H580" t="str">
            <v>「警備対策ビデオ制作」業務委嘱</v>
          </cell>
          <cell r="I580" t="str">
            <v xml:space="preserve">
外務省大臣官房会計課長　林肇
東京都千代田区霞が関２－２－１</v>
          </cell>
          <cell r="J580">
            <v>38800</v>
          </cell>
          <cell r="K580">
            <v>10000000</v>
          </cell>
          <cell r="L580"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80" t="str">
            <v>見直しの余地があるもの</v>
          </cell>
          <cell r="N580" t="str">
            <v>企画招請を実施（１８年度以降も引き続き実施）</v>
          </cell>
          <cell r="P580" t="str">
            <v>民○</v>
          </cell>
          <cell r="Q580" t="str">
            <v>民</v>
          </cell>
          <cell r="R580" t="str">
            <v>○</v>
          </cell>
          <cell r="S580" t="str">
            <v>民18②</v>
          </cell>
          <cell r="U580" t="str">
            <v>民</v>
          </cell>
          <cell r="W580" t="str">
            <v>②</v>
          </cell>
          <cell r="AA580">
            <v>1701775</v>
          </cell>
          <cell r="AB580">
            <v>1</v>
          </cell>
          <cell r="AC580" t="str">
            <v>17H231</v>
          </cell>
          <cell r="AD580" t="str">
            <v>取扱注意</v>
          </cell>
          <cell r="AE580" t="str">
            <v>警対</v>
          </cell>
          <cell r="AF580" t="str">
            <v>会計課調達室／サービス調達第１班</v>
          </cell>
          <cell r="AG580" t="str">
            <v>村松</v>
          </cell>
        </row>
        <row r="581">
          <cell r="A581" t="str">
            <v>民582</v>
          </cell>
          <cell r="B581">
            <v>888</v>
          </cell>
          <cell r="C581" t="str">
            <v>ｴﾇﾃｨﾃｨｰﾗｰﾆﾝｸﾞ</v>
          </cell>
          <cell r="E581">
            <v>582</v>
          </cell>
          <cell r="F581" t="str">
            <v>ＮＴＴラーニングシステムズ株式会社</v>
          </cell>
          <cell r="G581" t="str">
            <v>東京都港区南麻布１－６－１５</v>
          </cell>
          <cell r="H581" t="str">
            <v>「外務省ホームページ改善」業務委嘱</v>
          </cell>
          <cell r="I581" t="str">
            <v xml:space="preserve">
外務省大臣官房会計課長　林肇
東京都千代田区霞が関２－２－１</v>
          </cell>
          <cell r="J581">
            <v>38800</v>
          </cell>
          <cell r="K581">
            <v>3952410</v>
          </cell>
          <cell r="L581" t="str">
            <v>外務省ＨＰの運用業務は現在同社が請け負っており、システムの改修・改善は同社のサーバ上の作業であるため他の業者への委嘱はできない（会計法第２９条の３第４項）。</v>
          </cell>
          <cell r="M581" t="str">
            <v>見直しの余地があるもの</v>
          </cell>
          <cell r="N581" t="str">
            <v>１８年度以降において当該事務・事業の委託等を行う予定のないもの</v>
          </cell>
          <cell r="P581" t="str">
            <v>民×</v>
          </cell>
          <cell r="Q581" t="str">
            <v>民</v>
          </cell>
          <cell r="S581" t="str">
            <v>民18×</v>
          </cell>
          <cell r="U581" t="str">
            <v>民</v>
          </cell>
          <cell r="W581" t="str">
            <v>×</v>
          </cell>
          <cell r="AA581">
            <v>1701776</v>
          </cell>
          <cell r="AB581">
            <v>1</v>
          </cell>
          <cell r="AC581" t="str">
            <v>17W769</v>
          </cell>
          <cell r="AD581" t="str">
            <v>無指定</v>
          </cell>
          <cell r="AE581" t="str">
            <v>報内</v>
          </cell>
          <cell r="AF581" t="str">
            <v>会計課調達室／サービス調達第１班</v>
          </cell>
          <cell r="AG581" t="str">
            <v>村松</v>
          </cell>
        </row>
        <row r="582">
          <cell r="A582" t="str">
            <v>民583</v>
          </cell>
          <cell r="B582">
            <v>889</v>
          </cell>
          <cell r="C582" t="str">
            <v>ｶﾌﾞｻｸﾗｴｲｶﾞ</v>
          </cell>
          <cell r="E582">
            <v>583</v>
          </cell>
          <cell r="F582" t="str">
            <v>株式会社桜映画社</v>
          </cell>
          <cell r="G582" t="str">
            <v>東京都渋谷区千駄ヶ谷４－２０－１</v>
          </cell>
          <cell r="H582" t="str">
            <v>「中東和平問題に対する我が国の取り組み広報動画制作」業務委嘱</v>
          </cell>
          <cell r="I582" t="str">
            <v xml:space="preserve">
外務省大臣官房会計課長　林肇
東京都千代田区霞が関２－２－１</v>
          </cell>
          <cell r="J582">
            <v>38800</v>
          </cell>
          <cell r="K582">
            <v>2205000</v>
          </cell>
          <cell r="L582" t="str">
            <v>公示の上、資料提供企画招請を行い、提出された企画書審査等を通じ企画内容・見積額等により判断し、同社が最も高い評価を得て確実な業務の履行が可能であると認められたもの（会計法第２９条の３第４項）</v>
          </cell>
          <cell r="M582" t="str">
            <v>見直しの余地があるもの</v>
          </cell>
          <cell r="N582" t="str">
            <v>１８年度以降において当該事務・事業の委託等を行う予定のないもの</v>
          </cell>
          <cell r="P582" t="str">
            <v>民○</v>
          </cell>
          <cell r="Q582" t="str">
            <v>民</v>
          </cell>
          <cell r="R582" t="str">
            <v>○</v>
          </cell>
          <cell r="S582" t="str">
            <v>民18×</v>
          </cell>
          <cell r="U582" t="str">
            <v>民</v>
          </cell>
          <cell r="W582" t="str">
            <v>×</v>
          </cell>
          <cell r="AA582">
            <v>1701783</v>
          </cell>
          <cell r="AB582">
            <v>1</v>
          </cell>
          <cell r="AC582" t="str">
            <v>17W582</v>
          </cell>
          <cell r="AD582" t="str">
            <v>無指定</v>
          </cell>
          <cell r="AE582" t="str">
            <v>報内</v>
          </cell>
          <cell r="AF582" t="str">
            <v>会計課調達室／サービス調達第１班</v>
          </cell>
          <cell r="AG582" t="str">
            <v>村松</v>
          </cell>
        </row>
        <row r="583">
          <cell r="A583" t="str">
            <v>民584</v>
          </cell>
          <cell r="B583">
            <v>890</v>
          </cell>
          <cell r="C583" t="str">
            <v>ｹｲﾃﾞｨｰﾃﾞｨｰｱｲ</v>
          </cell>
          <cell r="E583">
            <v>584</v>
          </cell>
          <cell r="F583" t="str">
            <v>ケイディーディーアイ株式会社</v>
          </cell>
          <cell r="G583" t="str">
            <v>東京都港区芝３－８－２</v>
          </cell>
          <cell r="H583" t="str">
            <v>デジタル通信ネットワーク回線賃貸借契約</v>
          </cell>
          <cell r="I583" t="str">
            <v xml:space="preserve">
外務省大臣官房会計課長　林肇
東京都千代田区霞が関２－２－１</v>
          </cell>
          <cell r="J583">
            <v>38805</v>
          </cell>
          <cell r="K583">
            <v>1685965</v>
          </cell>
          <cell r="L583" t="str">
            <v>複数年のリース契約終了後、新システム導入までの間引き続きリース契約をおこなったもの。当該契約者以外に履行させることは価格面においても不利になる事から他に競争を許さない（会計法第２９条の３第４項）。</v>
          </cell>
          <cell r="M583" t="str">
            <v>見直しの余地があるもの</v>
          </cell>
          <cell r="N583" t="str">
            <v>１８年度以降において当該事務・事業の委託等を行う予定はない</v>
          </cell>
          <cell r="P583" t="str">
            <v>民×</v>
          </cell>
          <cell r="Q583" t="str">
            <v>民</v>
          </cell>
          <cell r="S583" t="str">
            <v>民18×</v>
          </cell>
          <cell r="U583" t="str">
            <v>民</v>
          </cell>
          <cell r="W583" t="str">
            <v>×</v>
          </cell>
          <cell r="AA583">
            <v>1701837</v>
          </cell>
          <cell r="AB583">
            <v>1</v>
          </cell>
          <cell r="AC583" t="str">
            <v>17M555</v>
          </cell>
          <cell r="AD583" t="str">
            <v>無指定</v>
          </cell>
          <cell r="AE583" t="str">
            <v>信</v>
          </cell>
          <cell r="AF583" t="str">
            <v>会計課調達室／サービス調達第３班</v>
          </cell>
          <cell r="AG583" t="str">
            <v>川畑</v>
          </cell>
        </row>
        <row r="584">
          <cell r="A584" t="str">
            <v>新規</v>
          </cell>
          <cell r="F584" t="str">
            <v>　見直し計画策定以降の新規案件</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tabColor rgb="FFFFFF00"/>
  </sheetPr>
  <dimension ref="A1:BB639"/>
  <sheetViews>
    <sheetView showGridLines="0" view="pageBreakPreview" topLeftCell="A575" zoomScaleNormal="100" zoomScaleSheetLayoutView="100" workbookViewId="0">
      <selection activeCell="A642" sqref="A642"/>
    </sheetView>
  </sheetViews>
  <sheetFormatPr defaultRowHeight="13.5"/>
  <cols>
    <col min="2" max="2" width="10" customWidth="1"/>
    <col min="3" max="3" width="15.375" customWidth="1"/>
    <col min="4" max="4" width="14.25" customWidth="1"/>
    <col min="5" max="5" width="4.375" customWidth="1"/>
    <col min="6" max="6" width="4.625" style="15" customWidth="1"/>
    <col min="7" max="7" width="18.125" customWidth="1"/>
    <col min="8" max="8" width="11.625" customWidth="1"/>
    <col min="9" max="9" width="14.375" customWidth="1"/>
    <col min="10" max="10" width="13.5" customWidth="1"/>
    <col min="11" max="11" width="17.125" customWidth="1"/>
    <col min="12" max="12" width="9.625" customWidth="1"/>
    <col min="13" max="13" width="15.875" customWidth="1"/>
    <col min="14" max="14" width="9.625" customWidth="1"/>
    <col min="15" max="15" width="18.125" bestFit="1" customWidth="1"/>
    <col min="16" max="16" width="9.25" customWidth="1"/>
    <col min="17" max="17" width="19.625" customWidth="1"/>
    <col min="18" max="18" width="16.25" customWidth="1"/>
    <col min="19" max="19" width="19.625" customWidth="1"/>
    <col min="20" max="20" width="17" customWidth="1"/>
    <col min="21" max="21" width="14.875" customWidth="1"/>
    <col min="22" max="22" width="13.75" customWidth="1"/>
    <col min="23" max="23" width="20.625" customWidth="1"/>
    <col min="24" max="24" width="13.875" customWidth="1"/>
    <col min="25" max="25" width="13.25" customWidth="1"/>
    <col min="26" max="27" width="9" customWidth="1"/>
    <col min="28" max="28" width="18.125" customWidth="1"/>
    <col min="29" max="29" width="9" customWidth="1"/>
    <col min="30" max="30" width="11.25" customWidth="1"/>
    <col min="31" max="31" width="11.375" customWidth="1"/>
    <col min="32" max="35" width="9" customWidth="1"/>
    <col min="36" max="36" width="19.25" customWidth="1"/>
    <col min="38" max="38" width="14.5" customWidth="1"/>
    <col min="39" max="39" width="20" customWidth="1"/>
    <col min="40" max="40" width="15.25" customWidth="1"/>
    <col min="41" max="41" width="14.875" customWidth="1"/>
    <col min="42" max="42" width="58.625" customWidth="1"/>
    <col min="43" max="43" width="16.25" customWidth="1"/>
    <col min="44" max="44" width="17.5" customWidth="1"/>
    <col min="46" max="46" width="36.375" customWidth="1"/>
    <col min="47" max="47" width="26.75" customWidth="1"/>
  </cols>
  <sheetData>
    <row r="1" spans="1:23">
      <c r="B1" s="847" t="s">
        <v>0</v>
      </c>
      <c r="C1" s="847"/>
      <c r="D1" s="847"/>
      <c r="E1" s="847"/>
      <c r="F1" s="847"/>
      <c r="G1" s="847"/>
      <c r="H1" s="847"/>
      <c r="I1" s="847"/>
    </row>
    <row r="2" spans="1:23" ht="14.25" thickBot="1">
      <c r="B2" s="848"/>
      <c r="C2" s="848"/>
      <c r="D2" s="848"/>
      <c r="E2" s="848"/>
      <c r="F2" s="848"/>
      <c r="G2" s="848"/>
      <c r="H2" s="848"/>
      <c r="I2" s="848"/>
    </row>
    <row r="3" spans="1:23" ht="15" thickTop="1">
      <c r="B3" s="1"/>
      <c r="C3" s="2"/>
      <c r="D3" s="2"/>
      <c r="E3" s="3"/>
      <c r="F3" s="828" t="s">
        <v>1</v>
      </c>
      <c r="G3" s="822"/>
      <c r="H3" s="821" t="s">
        <v>2</v>
      </c>
      <c r="I3" s="822"/>
      <c r="J3" s="821" t="s">
        <v>3</v>
      </c>
      <c r="K3" s="822"/>
      <c r="L3" s="821" t="s">
        <v>4</v>
      </c>
      <c r="M3" s="822"/>
      <c r="N3" s="821" t="s">
        <v>5</v>
      </c>
      <c r="O3" s="822"/>
      <c r="P3" s="821" t="s">
        <v>6</v>
      </c>
      <c r="Q3" s="822"/>
      <c r="R3" s="821" t="s">
        <v>7</v>
      </c>
      <c r="S3" s="846"/>
    </row>
    <row r="4" spans="1:23" ht="15" thickBot="1">
      <c r="B4" s="4"/>
      <c r="C4" s="5"/>
      <c r="D4" s="5"/>
      <c r="E4" s="6"/>
      <c r="F4" s="7" t="s">
        <v>8</v>
      </c>
      <c r="G4" s="7" t="s">
        <v>9</v>
      </c>
      <c r="H4" s="7" t="s">
        <v>8</v>
      </c>
      <c r="I4" s="7" t="s">
        <v>9</v>
      </c>
      <c r="J4" s="7" t="s">
        <v>8</v>
      </c>
      <c r="K4" s="7" t="s">
        <v>9</v>
      </c>
      <c r="L4" s="7" t="s">
        <v>8</v>
      </c>
      <c r="M4" s="7" t="s">
        <v>9</v>
      </c>
      <c r="N4" s="7" t="s">
        <v>8</v>
      </c>
      <c r="O4" s="7" t="s">
        <v>9</v>
      </c>
      <c r="P4" s="7" t="s">
        <v>8</v>
      </c>
      <c r="Q4" s="7" t="s">
        <v>9</v>
      </c>
      <c r="R4" s="7" t="s">
        <v>8</v>
      </c>
      <c r="S4" s="8" t="s">
        <v>9</v>
      </c>
    </row>
    <row r="5" spans="1:23" ht="17.25">
      <c r="B5" s="841" t="s">
        <v>10</v>
      </c>
      <c r="C5" s="842"/>
      <c r="D5" s="842"/>
      <c r="E5" s="843"/>
      <c r="F5" s="9">
        <f>SUM(F6:F9)</f>
        <v>5</v>
      </c>
      <c r="G5" s="10">
        <f t="shared" ref="G5:S5" si="0">SUM(G6:G9)</f>
        <v>2531710949</v>
      </c>
      <c r="H5" s="10">
        <f t="shared" si="0"/>
        <v>2</v>
      </c>
      <c r="I5" s="10">
        <f t="shared" si="0"/>
        <v>20853000</v>
      </c>
      <c r="J5" s="10">
        <f t="shared" si="0"/>
        <v>3</v>
      </c>
      <c r="K5" s="10">
        <f t="shared" si="0"/>
        <v>6452421123</v>
      </c>
      <c r="L5" s="10">
        <f t="shared" si="0"/>
        <v>5</v>
      </c>
      <c r="M5" s="10">
        <f t="shared" si="0"/>
        <v>113255879</v>
      </c>
      <c r="N5" s="10">
        <f t="shared" si="0"/>
        <v>29</v>
      </c>
      <c r="O5" s="10">
        <f t="shared" si="0"/>
        <v>1481553167</v>
      </c>
      <c r="P5" s="10">
        <f t="shared" si="0"/>
        <v>308</v>
      </c>
      <c r="Q5" s="10">
        <f t="shared" si="0"/>
        <v>7832713819</v>
      </c>
      <c r="R5" s="10">
        <f t="shared" si="0"/>
        <v>352</v>
      </c>
      <c r="S5" s="11">
        <f t="shared" si="0"/>
        <v>18432507937</v>
      </c>
    </row>
    <row r="6" spans="1:23" ht="17.25">
      <c r="A6" t="s">
        <v>11</v>
      </c>
      <c r="B6" s="837" t="s">
        <v>12</v>
      </c>
      <c r="C6" s="807"/>
      <c r="D6" s="807"/>
      <c r="E6" s="808"/>
      <c r="F6" s="12">
        <f>COUNTIF($B$87:$B$639,"①アA*")</f>
        <v>2</v>
      </c>
      <c r="G6" s="13">
        <f>SUMIF($B$87:$B$639,"①アA*",$Y$87:$Y$639)</f>
        <v>38073333</v>
      </c>
      <c r="H6" s="13">
        <f>COUNTIF($B$87:$B$639,"②アA*")</f>
        <v>2</v>
      </c>
      <c r="I6" s="13">
        <f>SUMIF($B$87:$B$639,"②アA*",$Y$87:$Y$639)</f>
        <v>20853000</v>
      </c>
      <c r="J6" s="13">
        <f>COUNTIF($B$87:$B$639,"③アA*")</f>
        <v>1</v>
      </c>
      <c r="K6" s="13">
        <f>SUMIF($B$87:$B$639,"③アA*",$Y$87:$Y$639)</f>
        <v>7999005</v>
      </c>
      <c r="L6" s="13">
        <f>COUNTIF($B$87:$B$639,"④アA*")</f>
        <v>4</v>
      </c>
      <c r="M6" s="13">
        <f>SUMIF($B$87:$B$639,"④アA*",$Y$87:$Y$639)</f>
        <v>110502894</v>
      </c>
      <c r="N6" s="13">
        <f>COUNTIF($B$87:$B$639,"⑤アA*")</f>
        <v>2</v>
      </c>
      <c r="O6" s="13">
        <f>SUMIF($B$87:$B$639,"⑤アA*",$Y$87:$Y$639)</f>
        <v>4670026</v>
      </c>
      <c r="P6" s="13">
        <f>COUNTIF($B$87:$B$639,"⑥アA*")</f>
        <v>49</v>
      </c>
      <c r="Q6" s="13">
        <f>SUMIF($B$87:$B$639,"⑥アA*",$Y$87:$Y$639)</f>
        <v>221762946</v>
      </c>
      <c r="R6" s="13">
        <f t="shared" ref="R6:S9" si="1">SUM(F6,H6,J6,L6,N6,P6)</f>
        <v>60</v>
      </c>
      <c r="S6" s="14">
        <f t="shared" si="1"/>
        <v>403861204</v>
      </c>
    </row>
    <row r="7" spans="1:23" ht="17.25" customHeight="1">
      <c r="B7" s="829" t="s">
        <v>13</v>
      </c>
      <c r="C7" s="807"/>
      <c r="D7" s="807"/>
      <c r="E7" s="808"/>
      <c r="F7" s="12">
        <f>COUNTIF($B$87:$B$639,"①アB*")</f>
        <v>1</v>
      </c>
      <c r="G7" s="13">
        <f>SUMIF($B$87:$B$639,"①アB*",$Y$87:$Y$639)</f>
        <v>619401000</v>
      </c>
      <c r="H7" s="13">
        <f>COUNTIF($B$87:$B$639,"②アB*")</f>
        <v>0</v>
      </c>
      <c r="I7" s="13">
        <f>SUMIF($B$87:$B$639,"②アB*",$Y$87:$Y$639)</f>
        <v>0</v>
      </c>
      <c r="J7" s="13">
        <f>COUNTIF($B$87:$B$639,"③アB*")</f>
        <v>0</v>
      </c>
      <c r="K7" s="13">
        <f>SUMIF($B$87:$B$639,"③アB*",$Y$87:$Y$639)</f>
        <v>0</v>
      </c>
      <c r="L7" s="13">
        <f>COUNTIF($B$87:$B$639,"④アB*")</f>
        <v>0</v>
      </c>
      <c r="M7" s="13">
        <f>SUMIF($B$87:$B$639,"④アB*",$Y$87:$Y$639)</f>
        <v>0</v>
      </c>
      <c r="N7" s="13">
        <f>COUNTIF($B$87:$B$639,"⑤アB*")</f>
        <v>0</v>
      </c>
      <c r="O7" s="13">
        <f>SUMIF($B$87:$B$639,"⑤アB*",$Y$87:$Y$639)</f>
        <v>0</v>
      </c>
      <c r="P7" s="13">
        <f>COUNTIF($B$87:$B$639,"⑥アB*")</f>
        <v>1</v>
      </c>
      <c r="Q7" s="13">
        <f>SUMIF($B$87:$B$639,"⑥アB*",$Y$87:$Y$639)</f>
        <v>7793100</v>
      </c>
      <c r="R7" s="13">
        <f t="shared" si="1"/>
        <v>2</v>
      </c>
      <c r="S7" s="14">
        <f t="shared" si="1"/>
        <v>627194100</v>
      </c>
    </row>
    <row r="8" spans="1:23" ht="17.25" customHeight="1">
      <c r="B8" s="829" t="s">
        <v>14</v>
      </c>
      <c r="C8" s="807"/>
      <c r="D8" s="807"/>
      <c r="E8" s="808"/>
      <c r="F8" s="12">
        <f>COUNTIF($B$87:$B$639,"①アC*")</f>
        <v>0</v>
      </c>
      <c r="G8" s="13">
        <f>SUMIF($B$87:$B$639,"①アC*",$Y$87:$Y$639)</f>
        <v>0</v>
      </c>
      <c r="H8" s="13">
        <f>COUNTIF($B$87:$B$639,"②アC*")</f>
        <v>0</v>
      </c>
      <c r="I8" s="13">
        <f>SUMIF($B$87:$B$639,"②アC*",$Y$87:$Y$639)</f>
        <v>0</v>
      </c>
      <c r="J8" s="13">
        <f>COUNTIF($B$87:$B$639,"③アC*")</f>
        <v>0</v>
      </c>
      <c r="K8" s="13">
        <f>SUMIF($B$87:$B$639,"③アC*",$Y$87:$Y$639)</f>
        <v>0</v>
      </c>
      <c r="L8" s="13">
        <f>COUNTIF($B$87:$B$639,"④アC*")</f>
        <v>0</v>
      </c>
      <c r="M8" s="13">
        <f>SUMIF($B$87:$B$639,"④アC*",$Y$87:$Y$639)</f>
        <v>0</v>
      </c>
      <c r="N8" s="13">
        <f>COUNTIF($B$87:$B$639,"⑤アC*")</f>
        <v>0</v>
      </c>
      <c r="O8" s="13">
        <f>SUMIF($B$87:$B$639,"⑤アC*",$Y$87:$Y$639)</f>
        <v>0</v>
      </c>
      <c r="P8" s="13">
        <f>COUNTIF($B$87:$B$639,"⑥アC*")</f>
        <v>5</v>
      </c>
      <c r="Q8" s="13">
        <f>SUMIF($B$87:$B$639,"⑥アC*",$Y$87:$Y$639)</f>
        <v>111504099</v>
      </c>
      <c r="R8" s="13">
        <f t="shared" si="1"/>
        <v>5</v>
      </c>
      <c r="S8" s="14">
        <f t="shared" si="1"/>
        <v>111504099</v>
      </c>
      <c r="W8" s="15"/>
    </row>
    <row r="9" spans="1:23" ht="18" thickBot="1">
      <c r="B9" s="830" t="s">
        <v>15</v>
      </c>
      <c r="C9" s="831"/>
      <c r="D9" s="831"/>
      <c r="E9" s="832"/>
      <c r="F9" s="12">
        <f>COUNTIF($B$87:$B$639,"①アD*")</f>
        <v>2</v>
      </c>
      <c r="G9" s="16">
        <f>SUMIF($B$87:$B$639,"①アD*",$Y$87:$Y$639)</f>
        <v>1874236616</v>
      </c>
      <c r="H9" s="16">
        <f>COUNTIF($B$87:$B$639,"②アD*")</f>
        <v>0</v>
      </c>
      <c r="I9" s="16">
        <f>SUMIF($B$87:$B$639,"②アD*",$Y$87:$Y$639)</f>
        <v>0</v>
      </c>
      <c r="J9" s="16">
        <f>COUNTIF($B$87:$B$639,"③アD*")</f>
        <v>2</v>
      </c>
      <c r="K9" s="16">
        <f>SUMIF($B$87:$B$639,"③アD*",$Y$87:$Y$639)</f>
        <v>6444422118</v>
      </c>
      <c r="L9" s="16">
        <f>COUNTIF($B$87:$B$639,"④アD*")</f>
        <v>1</v>
      </c>
      <c r="M9" s="16">
        <f>SUMIF($B$87:$B$639,"④アD*",$Y$87:$Y$639)</f>
        <v>2752985</v>
      </c>
      <c r="N9" s="16">
        <f>COUNTIF($B$87:$B$639,"⑤アD*")</f>
        <v>27</v>
      </c>
      <c r="O9" s="16">
        <f>SUMIF($B$87:$B$639,"⑤アD*",$Y$87:$Y$639)</f>
        <v>1476883141</v>
      </c>
      <c r="P9" s="16">
        <f>COUNTIF($B$87:$B$639,"⑥アD*")</f>
        <v>253</v>
      </c>
      <c r="Q9" s="16">
        <f>SUMIF($B$87:$B$639,"⑥アD*",$Y$87:$Y$639)</f>
        <v>7491653674</v>
      </c>
      <c r="R9" s="16">
        <f t="shared" si="1"/>
        <v>285</v>
      </c>
      <c r="S9" s="17">
        <f t="shared" si="1"/>
        <v>17289948534</v>
      </c>
      <c r="U9" s="18"/>
      <c r="V9" s="19"/>
      <c r="W9" s="20"/>
    </row>
    <row r="10" spans="1:23" ht="17.25">
      <c r="B10" s="841" t="s">
        <v>16</v>
      </c>
      <c r="C10" s="842"/>
      <c r="D10" s="842"/>
      <c r="E10" s="843"/>
      <c r="F10" s="9">
        <f>SUM(F11:F14)</f>
        <v>0</v>
      </c>
      <c r="G10" s="10">
        <f t="shared" ref="G10:S10" si="2">SUM(G11:G14)</f>
        <v>0</v>
      </c>
      <c r="H10" s="10">
        <f t="shared" si="2"/>
        <v>0</v>
      </c>
      <c r="I10" s="10">
        <f t="shared" si="2"/>
        <v>0</v>
      </c>
      <c r="J10" s="10">
        <f t="shared" si="2"/>
        <v>0</v>
      </c>
      <c r="K10" s="10">
        <f t="shared" si="2"/>
        <v>0</v>
      </c>
      <c r="L10" s="10">
        <f t="shared" si="2"/>
        <v>0</v>
      </c>
      <c r="M10" s="10">
        <f t="shared" si="2"/>
        <v>0</v>
      </c>
      <c r="N10" s="10">
        <f t="shared" si="2"/>
        <v>0</v>
      </c>
      <c r="O10" s="10">
        <f t="shared" si="2"/>
        <v>0</v>
      </c>
      <c r="P10" s="10">
        <f t="shared" si="2"/>
        <v>4</v>
      </c>
      <c r="Q10" s="10">
        <f t="shared" si="2"/>
        <v>9562396</v>
      </c>
      <c r="R10" s="10">
        <f t="shared" si="2"/>
        <v>4</v>
      </c>
      <c r="S10" s="11">
        <f t="shared" si="2"/>
        <v>9562396</v>
      </c>
      <c r="U10" s="21"/>
      <c r="V10" s="22"/>
      <c r="W10" s="23"/>
    </row>
    <row r="11" spans="1:23" ht="17.25">
      <c r="A11" t="s">
        <v>17</v>
      </c>
      <c r="B11" s="837" t="s">
        <v>12</v>
      </c>
      <c r="C11" s="807"/>
      <c r="D11" s="807"/>
      <c r="E11" s="808"/>
      <c r="F11" s="12">
        <f>COUNTIF($B$87:$B$639,"①イA*")</f>
        <v>0</v>
      </c>
      <c r="G11" s="13">
        <f>SUMIF($B$87:$B$639,"①イA*",$Y$87:$Y$639)</f>
        <v>0</v>
      </c>
      <c r="H11" s="13">
        <f>COUNTIF($B$87:$B$639,"②イA*")</f>
        <v>0</v>
      </c>
      <c r="I11" s="13">
        <f>SUMIF($B$87:$B$639,"②イA*",$Y$87:$Y$639)</f>
        <v>0</v>
      </c>
      <c r="J11" s="13">
        <f>COUNTIF($B$87:$B$639,"③イA*")</f>
        <v>0</v>
      </c>
      <c r="K11" s="13">
        <f>SUMIF($B$87:$B$639,"③イA*",$Y$87:$Y$639)</f>
        <v>0</v>
      </c>
      <c r="L11" s="13">
        <f>COUNTIF($B$87:$B$639,"④イA*")</f>
        <v>0</v>
      </c>
      <c r="M11" s="13">
        <f>SUMIF($B$87:$B$639,"④イA*",$Y$87:$Y$639)</f>
        <v>0</v>
      </c>
      <c r="N11" s="13">
        <f>COUNTIF($B$87:$B$639,"⑤イA*")</f>
        <v>0</v>
      </c>
      <c r="O11" s="13">
        <f>SUMIF($B$87:$B$639,"⑤イA*",$Y$87:$Y$639)</f>
        <v>0</v>
      </c>
      <c r="P11" s="13">
        <f>COUNTIF($B$87:$B$639,"⑥イA*")</f>
        <v>3</v>
      </c>
      <c r="Q11" s="13">
        <f>SUMIF($B$87:$B$639,"⑥イA*",$Y$87:$Y$639)</f>
        <v>8496896</v>
      </c>
      <c r="R11" s="13">
        <f t="shared" ref="R11:S14" si="3">SUM(F11,H11,J11,L11,N11,P11)</f>
        <v>3</v>
      </c>
      <c r="S11" s="14">
        <f t="shared" si="3"/>
        <v>8496896</v>
      </c>
      <c r="U11" s="21"/>
      <c r="V11" s="22"/>
      <c r="W11" s="23"/>
    </row>
    <row r="12" spans="1:23" ht="18.75" customHeight="1">
      <c r="B12" s="829" t="s">
        <v>13</v>
      </c>
      <c r="C12" s="807"/>
      <c r="D12" s="807"/>
      <c r="E12" s="808"/>
      <c r="F12" s="12">
        <f>COUNTIF($B$87:$B$639,"①イB*")</f>
        <v>0</v>
      </c>
      <c r="G12" s="13">
        <f>SUMIF($B$87:$B$639,"①イB*",$Y$87:$Y$639)</f>
        <v>0</v>
      </c>
      <c r="H12" s="13">
        <f>COUNTIF($B$87:$B$639,"②イB*")</f>
        <v>0</v>
      </c>
      <c r="I12" s="13">
        <f>SUMIF($B$87:$B$639,"②イB*",$Y$87:$Y$639)</f>
        <v>0</v>
      </c>
      <c r="J12" s="13">
        <f>COUNTIF($B$87:$B$639,"③イB*")</f>
        <v>0</v>
      </c>
      <c r="K12" s="13">
        <f>SUMIF($B$87:$B$639,"③イB*",$Y$87:$Y$639)</f>
        <v>0</v>
      </c>
      <c r="L12" s="13">
        <f>COUNTIF($B$87:$B$639,"④イB*")</f>
        <v>0</v>
      </c>
      <c r="M12" s="13">
        <f>SUMIF($B$87:$B$639,"④イB*",$Y$87:$Y$639)</f>
        <v>0</v>
      </c>
      <c r="N12" s="13">
        <f>COUNTIF($B$87:$B$639,"⑤イB*")</f>
        <v>0</v>
      </c>
      <c r="O12" s="13">
        <f>SUMIF($B$87:$B$639,"⑤イB*",$Y$87:$Y$639)</f>
        <v>0</v>
      </c>
      <c r="P12" s="13">
        <f>COUNTIF($B$87:$B$639,"⑥イB*")</f>
        <v>0</v>
      </c>
      <c r="Q12" s="13">
        <f>SUMIF($B$87:$B$639,"⑥イB*",$Y$87:$Y$639)</f>
        <v>0</v>
      </c>
      <c r="R12" s="13">
        <f t="shared" si="3"/>
        <v>0</v>
      </c>
      <c r="S12" s="14">
        <f t="shared" si="3"/>
        <v>0</v>
      </c>
      <c r="U12" s="24"/>
      <c r="V12" s="22"/>
      <c r="W12" s="23"/>
    </row>
    <row r="13" spans="1:23" ht="18.75" customHeight="1">
      <c r="B13" s="829" t="s">
        <v>14</v>
      </c>
      <c r="C13" s="807"/>
      <c r="D13" s="807"/>
      <c r="E13" s="808"/>
      <c r="F13" s="12">
        <f>COUNTIF($B$87:$B$639,"①イC*")</f>
        <v>0</v>
      </c>
      <c r="G13" s="13">
        <f>SUMIF($B$87:$B$639,"①イC*",$Y$87:$Y$639)</f>
        <v>0</v>
      </c>
      <c r="H13" s="13">
        <f>COUNTIF($B$87:$B$639,"②イC*")</f>
        <v>0</v>
      </c>
      <c r="I13" s="13">
        <f>SUMIF($B$87:$B$639,"②イC*",$Y$87:$Y$639)</f>
        <v>0</v>
      </c>
      <c r="J13" s="13">
        <f>COUNTIF($B$87:$B$639,"③イC*")</f>
        <v>0</v>
      </c>
      <c r="K13" s="13">
        <f>SUMIF($B$87:$B$639,"③イC*",$Y$87:$Y$639)</f>
        <v>0</v>
      </c>
      <c r="L13" s="13">
        <f>COUNTIF($B$87:$B$639,"④イC*")</f>
        <v>0</v>
      </c>
      <c r="M13" s="13">
        <f>SUMIF($B$87:$B$639,"④イC*",$Y$87:$Y$639)</f>
        <v>0</v>
      </c>
      <c r="N13" s="13">
        <f>COUNTIF($B$87:$B$639,"⑤イC*")</f>
        <v>0</v>
      </c>
      <c r="O13" s="13">
        <f>SUMIF($B$87:$B$639,"⑤イC*",$Y$87:$Y$639)</f>
        <v>0</v>
      </c>
      <c r="P13" s="13">
        <f>COUNTIF($B$87:$B$639,"⑥イC*")</f>
        <v>0</v>
      </c>
      <c r="Q13" s="13">
        <f>SUMIF($B$87:$B$639,"⑥イC*",$Y$87:$Y$639)</f>
        <v>0</v>
      </c>
      <c r="R13" s="13">
        <f t="shared" si="3"/>
        <v>0</v>
      </c>
      <c r="S13" s="14">
        <f t="shared" si="3"/>
        <v>0</v>
      </c>
      <c r="U13" s="24"/>
      <c r="V13" s="22"/>
      <c r="W13" s="23"/>
    </row>
    <row r="14" spans="1:23" ht="18" thickBot="1">
      <c r="B14" s="830" t="s">
        <v>15</v>
      </c>
      <c r="C14" s="831"/>
      <c r="D14" s="831"/>
      <c r="E14" s="832"/>
      <c r="F14" s="25">
        <f>COUNTIF($B$87:$B$639,"①イD*")</f>
        <v>0</v>
      </c>
      <c r="G14" s="16">
        <f>SUMIF($B$87:$B$639,"①イD*",$Y$87:$Y$639)</f>
        <v>0</v>
      </c>
      <c r="H14" s="16">
        <f>COUNTIF($B$87:$B$639,"②イD*")</f>
        <v>0</v>
      </c>
      <c r="I14" s="16">
        <f>SUMIF($B$87:$B$639,"②イD*",$Y$87:$Y$639)</f>
        <v>0</v>
      </c>
      <c r="J14" s="16">
        <f>COUNTIF($B$87:$B$639,"③イD*")</f>
        <v>0</v>
      </c>
      <c r="K14" s="16">
        <f>SUMIF($B$87:$B$639,"③イD*",$Y$87:$Y$639)</f>
        <v>0</v>
      </c>
      <c r="L14" s="16">
        <f>COUNTIF($B$87:$B$639,"④イD*")</f>
        <v>0</v>
      </c>
      <c r="M14" s="16">
        <f>SUMIF($B$87:$B$639,"④イD*",$Y$87:$Y$639)</f>
        <v>0</v>
      </c>
      <c r="N14" s="16">
        <f>COUNTIF($B$87:$B$639,"⑤イD*")</f>
        <v>0</v>
      </c>
      <c r="O14" s="16">
        <f>SUMIF($B$87:$B$639,"⑤イD*",$Y$87:$Y$639)</f>
        <v>0</v>
      </c>
      <c r="P14" s="16">
        <f>COUNTIF($B$87:$B$639,"⑥イD*")</f>
        <v>1</v>
      </c>
      <c r="Q14" s="16">
        <f>SUMIF($B$87:$B$639,"⑥イD*",$Y$87:$Y$639)</f>
        <v>1065500</v>
      </c>
      <c r="R14" s="16">
        <f t="shared" si="3"/>
        <v>1</v>
      </c>
      <c r="S14" s="17">
        <f t="shared" si="3"/>
        <v>1065500</v>
      </c>
    </row>
    <row r="15" spans="1:23" ht="17.25">
      <c r="B15" s="841" t="s">
        <v>18</v>
      </c>
      <c r="C15" s="842"/>
      <c r="D15" s="842"/>
      <c r="E15" s="843"/>
      <c r="F15" s="9">
        <f t="shared" ref="F15:S15" si="4">SUM(F16:F19)</f>
        <v>0</v>
      </c>
      <c r="G15" s="10">
        <f t="shared" si="4"/>
        <v>0</v>
      </c>
      <c r="H15" s="10">
        <f t="shared" si="4"/>
        <v>0</v>
      </c>
      <c r="I15" s="10">
        <f t="shared" si="4"/>
        <v>0</v>
      </c>
      <c r="J15" s="10">
        <f t="shared" si="4"/>
        <v>0</v>
      </c>
      <c r="K15" s="10">
        <f t="shared" si="4"/>
        <v>0</v>
      </c>
      <c r="L15" s="10">
        <f t="shared" si="4"/>
        <v>0</v>
      </c>
      <c r="M15" s="10">
        <f t="shared" si="4"/>
        <v>0</v>
      </c>
      <c r="N15" s="10">
        <f t="shared" si="4"/>
        <v>0</v>
      </c>
      <c r="O15" s="10">
        <f t="shared" si="4"/>
        <v>0</v>
      </c>
      <c r="P15" s="10">
        <f t="shared" si="4"/>
        <v>0</v>
      </c>
      <c r="Q15" s="10">
        <f t="shared" si="4"/>
        <v>0</v>
      </c>
      <c r="R15" s="10">
        <f t="shared" si="4"/>
        <v>0</v>
      </c>
      <c r="S15" s="11">
        <f t="shared" si="4"/>
        <v>0</v>
      </c>
    </row>
    <row r="16" spans="1:23" ht="17.25">
      <c r="A16" t="s">
        <v>19</v>
      </c>
      <c r="B16" s="837" t="s">
        <v>12</v>
      </c>
      <c r="C16" s="807"/>
      <c r="D16" s="807"/>
      <c r="E16" s="808"/>
      <c r="F16" s="12">
        <f>COUNTIF($B$87:$B$639,"①ウA*")</f>
        <v>0</v>
      </c>
      <c r="G16" s="13">
        <f>SUMIF($B$87:$B$639,"①ウA*",$Y$87:$Y$639)</f>
        <v>0</v>
      </c>
      <c r="H16" s="13">
        <f>COUNTIF($B$87:$B$639,"②ウA*")</f>
        <v>0</v>
      </c>
      <c r="I16" s="13">
        <f>SUMIF($B$87:$B$639,"②ウA*",$Y$87:$Y$639)</f>
        <v>0</v>
      </c>
      <c r="J16" s="13">
        <f>COUNTIF($B$87:$B$639,"③ウA*")</f>
        <v>0</v>
      </c>
      <c r="K16" s="13">
        <f>SUMIF($B$87:$B$639,"③ウA*",$Y$87:$Y$639)</f>
        <v>0</v>
      </c>
      <c r="L16" s="13">
        <f>COUNTIF($B$87:$B$639,"④ウA*")</f>
        <v>0</v>
      </c>
      <c r="M16" s="13">
        <f>SUMIF($B$87:$B$639,"④ウA*",$Y$87:$Y$639)</f>
        <v>0</v>
      </c>
      <c r="N16" s="13">
        <f>COUNTIF($B$87:$B$639,"⑤ウA*")</f>
        <v>0</v>
      </c>
      <c r="O16" s="13">
        <f>SUMIF($B$87:$B$639,"⑤ウA*",$Y$87:$Y$639)</f>
        <v>0</v>
      </c>
      <c r="P16" s="13">
        <f>COUNTIF($B$87:$B$639,"⑥ウA*")</f>
        <v>0</v>
      </c>
      <c r="Q16" s="13">
        <f>SUMIF($B$87:$B$639,"⑥ウA*",$Y$87:$Y$639)</f>
        <v>0</v>
      </c>
      <c r="R16" s="13">
        <f t="shared" ref="R16:S19" si="5">SUM(F16,H16,J16,L16,N16,P16)</f>
        <v>0</v>
      </c>
      <c r="S16" s="14">
        <f t="shared" si="5"/>
        <v>0</v>
      </c>
    </row>
    <row r="17" spans="1:23" ht="17.25" customHeight="1">
      <c r="B17" s="829" t="s">
        <v>13</v>
      </c>
      <c r="C17" s="807"/>
      <c r="D17" s="807"/>
      <c r="E17" s="808"/>
      <c r="F17" s="12">
        <f>COUNTIF($B$87:$B$639,"①ウB*")</f>
        <v>0</v>
      </c>
      <c r="G17" s="13">
        <f>SUMIF($B$87:$B$639,"①ウB*",$Y$87:$Y$639)</f>
        <v>0</v>
      </c>
      <c r="H17" s="13">
        <f>COUNTIF($B$87:$B$639,"②ウB*")</f>
        <v>0</v>
      </c>
      <c r="I17" s="13">
        <f>SUMIF($B$87:$B$639,"②ウB*",$Y$87:$Y$639)</f>
        <v>0</v>
      </c>
      <c r="J17" s="13">
        <f>COUNTIF($B$87:$B$639,"③ウB*")</f>
        <v>0</v>
      </c>
      <c r="K17" s="13">
        <f>SUMIF($B$87:$B$639,"③ウB*",$Y$87:$Y$639)</f>
        <v>0</v>
      </c>
      <c r="L17" s="13">
        <f>COUNTIF($B$87:$B$639,"④ウB*")</f>
        <v>0</v>
      </c>
      <c r="M17" s="13">
        <f>SUMIF($B$87:$B$639,"④ウB*",$Y$87:$Y$639)</f>
        <v>0</v>
      </c>
      <c r="N17" s="13">
        <f>COUNTIF($B$87:$B$639,"⑤ウB*")</f>
        <v>0</v>
      </c>
      <c r="O17" s="13">
        <f>SUMIF($B$87:$B$639,"⑤ウB*",$Y$87:$Y$639)</f>
        <v>0</v>
      </c>
      <c r="P17" s="13">
        <f>COUNTIF($B$87:$B$639,"⑥ウB*")</f>
        <v>0</v>
      </c>
      <c r="Q17" s="13">
        <f>SUMIF($B$87:$B$639,"⑥ウB*",$Y$87:$Y$639)</f>
        <v>0</v>
      </c>
      <c r="R17" s="13">
        <f t="shared" si="5"/>
        <v>0</v>
      </c>
      <c r="S17" s="14">
        <f t="shared" si="5"/>
        <v>0</v>
      </c>
    </row>
    <row r="18" spans="1:23" ht="17.25" customHeight="1">
      <c r="B18" s="829" t="s">
        <v>14</v>
      </c>
      <c r="C18" s="807"/>
      <c r="D18" s="807"/>
      <c r="E18" s="808"/>
      <c r="F18" s="12">
        <f>COUNTIF($B$87:$B$639,"①ウC*")</f>
        <v>0</v>
      </c>
      <c r="G18" s="13">
        <f>SUMIF($B$87:$B$639,"①ウC*",$Y$87:$Y$639)</f>
        <v>0</v>
      </c>
      <c r="H18" s="13">
        <f>COUNTIF($B$87:$B$639,"②ウC*")</f>
        <v>0</v>
      </c>
      <c r="I18" s="13">
        <f>SUMIF($B$87:$B$639,"②ウC*",$Y$87:$Y$639)</f>
        <v>0</v>
      </c>
      <c r="J18" s="13">
        <f>COUNTIF($B$87:$B$639,"③ウC*")</f>
        <v>0</v>
      </c>
      <c r="K18" s="13">
        <f>SUMIF($B$87:$B$639,"③ウC*",$Y$87:$Y$639)</f>
        <v>0</v>
      </c>
      <c r="L18" s="13">
        <f>COUNTIF($B$87:$B$639,"④ウC*")</f>
        <v>0</v>
      </c>
      <c r="M18" s="13">
        <f>SUMIF($B$87:$B$639,"④ウC*",$Y$87:$Y$639)</f>
        <v>0</v>
      </c>
      <c r="N18" s="13">
        <f>COUNTIF($B$87:$B$639,"⑤ウC*")</f>
        <v>0</v>
      </c>
      <c r="O18" s="13">
        <f>SUMIF($B$87:$B$639,"⑤ウC*",$Y$87:$Y$639)</f>
        <v>0</v>
      </c>
      <c r="P18" s="13">
        <f>COUNTIF($B$87:$B$639,"⑥ウC*")</f>
        <v>0</v>
      </c>
      <c r="Q18" s="13">
        <f>SUMIF($B$87:$B$639,"⑥ウC*",$Y$87:$Y$639)</f>
        <v>0</v>
      </c>
      <c r="R18" s="13">
        <f t="shared" si="5"/>
        <v>0</v>
      </c>
      <c r="S18" s="14">
        <f t="shared" si="5"/>
        <v>0</v>
      </c>
    </row>
    <row r="19" spans="1:23" ht="18" thickBot="1">
      <c r="B19" s="830" t="s">
        <v>15</v>
      </c>
      <c r="C19" s="831"/>
      <c r="D19" s="831"/>
      <c r="E19" s="832"/>
      <c r="F19" s="25">
        <f>COUNTIF($B$87:$B$639,"①ウD*")</f>
        <v>0</v>
      </c>
      <c r="G19" s="16">
        <f>SUMIF($B$87:$B$639,"①ウD*",$Y$87:$Y$639)</f>
        <v>0</v>
      </c>
      <c r="H19" s="16">
        <f>COUNTIF($B$87:$B$639,"②ウD*")</f>
        <v>0</v>
      </c>
      <c r="I19" s="16">
        <f>SUMIF($B$87:$B$639,"②ウD*",$Y$87:$Y$639)</f>
        <v>0</v>
      </c>
      <c r="J19" s="16">
        <f>COUNTIF($B$87:$B$639,"③ウD*")</f>
        <v>0</v>
      </c>
      <c r="K19" s="16">
        <f>SUMIF($B$87:$B$639,"③ウD*",$Y$87:$Y$639)</f>
        <v>0</v>
      </c>
      <c r="L19" s="16">
        <f>COUNTIF($B$87:$B$639,"④ウD*")</f>
        <v>0</v>
      </c>
      <c r="M19" s="16">
        <f>SUMIF($B$87:$B$639,"④ウD*",$Y$87:$Y$639)</f>
        <v>0</v>
      </c>
      <c r="N19" s="16">
        <f>COUNTIF($B$87:$B$639,"⑤ウD*")</f>
        <v>0</v>
      </c>
      <c r="O19" s="16">
        <f>SUMIF($B$87:$B$639,"⑤ウD*",$Y$87:$Y$639)</f>
        <v>0</v>
      </c>
      <c r="P19" s="16">
        <f>COUNTIF($B$87:$B$639,"⑥ウD*")</f>
        <v>0</v>
      </c>
      <c r="Q19" s="16">
        <f>SUMIF($B$87:$B$639,"⑥ウD*",$Y$87:$Y$639)</f>
        <v>0</v>
      </c>
      <c r="R19" s="16">
        <f t="shared" si="5"/>
        <v>0</v>
      </c>
      <c r="S19" s="17">
        <f t="shared" si="5"/>
        <v>0</v>
      </c>
    </row>
    <row r="20" spans="1:23" ht="19.5" customHeight="1">
      <c r="A20" t="s">
        <v>20</v>
      </c>
      <c r="B20" s="844" t="s">
        <v>21</v>
      </c>
      <c r="C20" s="845"/>
      <c r="D20" s="26"/>
      <c r="E20" s="27"/>
      <c r="F20" s="9">
        <f t="shared" ref="F20:S20" si="6">SUM(F21:F24)</f>
        <v>0</v>
      </c>
      <c r="G20" s="10">
        <f t="shared" si="6"/>
        <v>0</v>
      </c>
      <c r="H20" s="10">
        <f t="shared" si="6"/>
        <v>1</v>
      </c>
      <c r="I20" s="10">
        <f t="shared" si="6"/>
        <v>33717600</v>
      </c>
      <c r="J20" s="10">
        <f t="shared" si="6"/>
        <v>0</v>
      </c>
      <c r="K20" s="10">
        <f t="shared" si="6"/>
        <v>0</v>
      </c>
      <c r="L20" s="10">
        <f t="shared" si="6"/>
        <v>2</v>
      </c>
      <c r="M20" s="10">
        <f t="shared" si="6"/>
        <v>35449089</v>
      </c>
      <c r="N20" s="10">
        <f t="shared" si="6"/>
        <v>0</v>
      </c>
      <c r="O20" s="10">
        <f t="shared" si="6"/>
        <v>0</v>
      </c>
      <c r="P20" s="10">
        <f t="shared" si="6"/>
        <v>12</v>
      </c>
      <c r="Q20" s="10">
        <f t="shared" si="6"/>
        <v>1539687760</v>
      </c>
      <c r="R20" s="10">
        <f t="shared" si="6"/>
        <v>15</v>
      </c>
      <c r="S20" s="11">
        <f t="shared" si="6"/>
        <v>1608854449</v>
      </c>
      <c r="W20" s="15"/>
    </row>
    <row r="21" spans="1:23" ht="17.25">
      <c r="B21" s="837" t="s">
        <v>12</v>
      </c>
      <c r="C21" s="807"/>
      <c r="D21" s="807"/>
      <c r="E21" s="808"/>
      <c r="F21" s="12">
        <f>COUNTIF($B$87:$B$639,"①カA*")</f>
        <v>0</v>
      </c>
      <c r="G21" s="13">
        <f>SUMIF($B$87:$B$639,"①カA*",$Y$87:$Y$639)</f>
        <v>0</v>
      </c>
      <c r="H21" s="13">
        <f>COUNTIF($B$87:$B$639,"②カA*")</f>
        <v>0</v>
      </c>
      <c r="I21" s="13">
        <f>SUMIF($B$87:$B$639,"②カA*",$Y$87:$Y$639)</f>
        <v>0</v>
      </c>
      <c r="J21" s="13">
        <f>COUNTIF($B$87:$B$639,"③カA*")</f>
        <v>0</v>
      </c>
      <c r="K21" s="13">
        <f>SUMIF($B$87:$B$639,"③カA*",$Y$87:$Y$639)</f>
        <v>0</v>
      </c>
      <c r="L21" s="13">
        <f>COUNTIF($B$87:$B$639,"④カA*")</f>
        <v>0</v>
      </c>
      <c r="M21" s="13">
        <f>SUMIF($B$87:$B$639,"④カA*",$Y$87:$Y$639)</f>
        <v>0</v>
      </c>
      <c r="N21" s="13">
        <f>COUNTIF($B$87:$B$639,"⑤カA*")</f>
        <v>0</v>
      </c>
      <c r="O21" s="13">
        <f>SUMIF($B$87:$B$639,"⑤カA*",$Y$87:$Y$639)</f>
        <v>0</v>
      </c>
      <c r="P21" s="13">
        <f>COUNTIF($B$87:$B$639,"⑥カA*")</f>
        <v>0</v>
      </c>
      <c r="Q21" s="13">
        <f>SUMIF($B$87:$B$639,"⑥カA*",$Y$87:$Y$639)</f>
        <v>0</v>
      </c>
      <c r="R21" s="13">
        <f t="shared" ref="R21:S24" si="7">SUM(F21,H21,J21,L21,N21,P21)</f>
        <v>0</v>
      </c>
      <c r="S21" s="14">
        <f t="shared" si="7"/>
        <v>0</v>
      </c>
      <c r="V21" s="21"/>
    </row>
    <row r="22" spans="1:23" ht="17.25" customHeight="1">
      <c r="B22" s="829" t="s">
        <v>13</v>
      </c>
      <c r="C22" s="807"/>
      <c r="D22" s="807"/>
      <c r="E22" s="808"/>
      <c r="F22" s="12">
        <f>COUNTIF($B$87:$B$639,"①カB*")</f>
        <v>0</v>
      </c>
      <c r="G22" s="13">
        <f>SUMIF($B$87:$B$639,"①カB*",$Y$87:$Y$639)</f>
        <v>0</v>
      </c>
      <c r="H22" s="13">
        <f>COUNTIF($B$87:$B$639,"②カB*")</f>
        <v>0</v>
      </c>
      <c r="I22" s="13">
        <f>SUMIF($B$87:$B$639,"②カB*",$Y$87:$Y$639)</f>
        <v>0</v>
      </c>
      <c r="J22" s="13">
        <f>COUNTIF($B$87:$B$639,"③カB*")</f>
        <v>0</v>
      </c>
      <c r="K22" s="13">
        <f>SUMIF($B$87:$B$639,"③カB*",$Y$87:$Y$639)</f>
        <v>0</v>
      </c>
      <c r="L22" s="13">
        <f>COUNTIF($B$87:$B$639,"④カB*")</f>
        <v>0</v>
      </c>
      <c r="M22" s="13">
        <f>SUMIF($B$87:$B$639,"④カB*",$Y$87:$Y$639)</f>
        <v>0</v>
      </c>
      <c r="N22" s="13">
        <f>COUNTIF($B$87:$B$639,"⑤カB*")</f>
        <v>0</v>
      </c>
      <c r="O22" s="13">
        <f>SUMIF($B$87:$B$639,"⑤カB*",$Y$87:$Y$639)</f>
        <v>0</v>
      </c>
      <c r="P22" s="13">
        <f>COUNTIF($B$87:$B$639,"⑥カB*")</f>
        <v>0</v>
      </c>
      <c r="Q22" s="13">
        <f>SUMIF($B$87:$B$639,"⑥カB*",$Y$87:$Y$639)</f>
        <v>0</v>
      </c>
      <c r="R22" s="13">
        <f t="shared" si="7"/>
        <v>0</v>
      </c>
      <c r="S22" s="14">
        <f t="shared" si="7"/>
        <v>0</v>
      </c>
      <c r="V22" s="21"/>
    </row>
    <row r="23" spans="1:23" ht="17.25" customHeight="1">
      <c r="B23" s="829" t="s">
        <v>14</v>
      </c>
      <c r="C23" s="807"/>
      <c r="D23" s="807"/>
      <c r="E23" s="808"/>
      <c r="F23" s="12">
        <f>COUNTIF($B$87:$B$639,"①カC*")</f>
        <v>0</v>
      </c>
      <c r="G23" s="13">
        <f>SUMIF($B$87:$B$639,"①カC*",$Y$87:$Y$639)</f>
        <v>0</v>
      </c>
      <c r="H23" s="13">
        <f>COUNTIF($B$87:$B$639,"②カC*")</f>
        <v>0</v>
      </c>
      <c r="I23" s="13">
        <f>SUMIF($B$87:$B$639,"②カC*",$Y$87:$Y$639)</f>
        <v>0</v>
      </c>
      <c r="J23" s="13">
        <f>COUNTIF($B$87:$B$639,"③カC*")</f>
        <v>0</v>
      </c>
      <c r="K23" s="13">
        <f>SUMIF($B$87:$B$639,"③カC*",$Y$87:$Y$639)</f>
        <v>0</v>
      </c>
      <c r="L23" s="13">
        <f>COUNTIF($B$87:$B$639,"④カC*")</f>
        <v>0</v>
      </c>
      <c r="M23" s="13">
        <f>SUMIF($B$87:$B$639,"④カC*",$Y$87:$Y$639)</f>
        <v>0</v>
      </c>
      <c r="N23" s="13">
        <f>COUNTIF($B$87:$B$639,"⑤カC*")</f>
        <v>0</v>
      </c>
      <c r="O23" s="13">
        <f>SUMIF($B$87:$B$639,"⑤カC*",$Y$87:$Y$639)</f>
        <v>0</v>
      </c>
      <c r="P23" s="13">
        <f>COUNTIF($B$87:$B$639,"⑥カC*")</f>
        <v>0</v>
      </c>
      <c r="Q23" s="13">
        <f>SUMIF($B$87:$B$639,"⑥カC*",$Y$87:$Y$639)</f>
        <v>0</v>
      </c>
      <c r="R23" s="13">
        <f t="shared" si="7"/>
        <v>0</v>
      </c>
      <c r="S23" s="14">
        <f t="shared" si="7"/>
        <v>0</v>
      </c>
      <c r="V23" s="21"/>
    </row>
    <row r="24" spans="1:23" ht="18" thickBot="1">
      <c r="B24" s="830" t="s">
        <v>15</v>
      </c>
      <c r="C24" s="831"/>
      <c r="D24" s="831"/>
      <c r="E24" s="832"/>
      <c r="F24" s="25">
        <f>COUNTIF($B$87:$B$639,"①カD*")</f>
        <v>0</v>
      </c>
      <c r="G24" s="16">
        <f>SUMIF($B$87:$B$639,"①カD*",$Y$87:$Y$639)</f>
        <v>0</v>
      </c>
      <c r="H24" s="16">
        <f>COUNTIF($B$87:$B$639,"②カD*")</f>
        <v>1</v>
      </c>
      <c r="I24" s="16">
        <f>SUMIF($B$87:$B$639,"②カD*",$Y$87:$Y$639)</f>
        <v>33717600</v>
      </c>
      <c r="J24" s="16">
        <f>COUNTIF($B$87:$B$639,"③カD*")</f>
        <v>0</v>
      </c>
      <c r="K24" s="16">
        <f>SUMIF($B$87:$B$639,"③カD*",$Y$87:$Y$639)</f>
        <v>0</v>
      </c>
      <c r="L24" s="16">
        <f>COUNTIF($B$87:$B$639,"④カD*")</f>
        <v>2</v>
      </c>
      <c r="M24" s="16">
        <f>SUMIF($B$87:$B$639,"④カD*",$Y$87:$Y$639)</f>
        <v>35449089</v>
      </c>
      <c r="N24" s="16">
        <f>COUNTIF($B$87:$B$639,"⑤カD*")</f>
        <v>0</v>
      </c>
      <c r="O24" s="16">
        <f>SUMIF($B$87:$B$639,"⑤カD*",$Y$87:$Y$639)</f>
        <v>0</v>
      </c>
      <c r="P24" s="16">
        <f>COUNTIF($B$87:$B$639,"⑥カD*")</f>
        <v>12</v>
      </c>
      <c r="Q24" s="16">
        <f>SUMIF($B$87:$B$639,"⑥カD*",$Y$87:$Y$639)</f>
        <v>1539687760</v>
      </c>
      <c r="R24" s="16">
        <f t="shared" si="7"/>
        <v>15</v>
      </c>
      <c r="S24" s="17">
        <f t="shared" si="7"/>
        <v>1608854449</v>
      </c>
    </row>
    <row r="25" spans="1:23" ht="17.25">
      <c r="B25" s="838" t="s">
        <v>22</v>
      </c>
      <c r="C25" s="839"/>
      <c r="D25" s="839"/>
      <c r="E25" s="840"/>
      <c r="F25" s="28">
        <f t="shared" ref="F25:S25" si="8">SUM(F26:F29)</f>
        <v>0</v>
      </c>
      <c r="G25" s="29">
        <f t="shared" si="8"/>
        <v>0</v>
      </c>
      <c r="H25" s="29">
        <f t="shared" si="8"/>
        <v>0</v>
      </c>
      <c r="I25" s="29">
        <f t="shared" si="8"/>
        <v>0</v>
      </c>
      <c r="J25" s="29">
        <f t="shared" si="8"/>
        <v>0</v>
      </c>
      <c r="K25" s="29">
        <f t="shared" si="8"/>
        <v>0</v>
      </c>
      <c r="L25" s="29">
        <f t="shared" si="8"/>
        <v>0</v>
      </c>
      <c r="M25" s="29">
        <f t="shared" si="8"/>
        <v>0</v>
      </c>
      <c r="N25" s="29">
        <f t="shared" si="8"/>
        <v>1</v>
      </c>
      <c r="O25" s="29">
        <f t="shared" si="8"/>
        <v>8640975</v>
      </c>
      <c r="P25" s="29">
        <f t="shared" si="8"/>
        <v>42</v>
      </c>
      <c r="Q25" s="29">
        <f t="shared" si="8"/>
        <v>3962821331</v>
      </c>
      <c r="R25" s="29">
        <f t="shared" si="8"/>
        <v>43</v>
      </c>
      <c r="S25" s="30">
        <f t="shared" si="8"/>
        <v>3971462306</v>
      </c>
    </row>
    <row r="26" spans="1:23" ht="17.25">
      <c r="B26" s="829" t="s">
        <v>12</v>
      </c>
      <c r="C26" s="807"/>
      <c r="D26" s="807"/>
      <c r="E26" s="808"/>
      <c r="F26" s="31"/>
      <c r="G26" s="32"/>
      <c r="H26" s="32"/>
      <c r="I26" s="32"/>
      <c r="J26" s="32"/>
      <c r="K26" s="32"/>
      <c r="L26" s="32"/>
      <c r="M26" s="32"/>
      <c r="N26" s="32"/>
      <c r="O26" s="32"/>
      <c r="P26" s="32"/>
      <c r="Q26" s="32"/>
      <c r="R26" s="32"/>
      <c r="S26" s="33"/>
    </row>
    <row r="27" spans="1:23" ht="17.25">
      <c r="B27" s="829" t="s">
        <v>13</v>
      </c>
      <c r="C27" s="807"/>
      <c r="D27" s="807"/>
      <c r="E27" s="808"/>
      <c r="F27" s="31"/>
      <c r="G27" s="32"/>
      <c r="H27" s="32"/>
      <c r="I27" s="32"/>
      <c r="J27" s="32"/>
      <c r="K27" s="32"/>
      <c r="L27" s="32"/>
      <c r="M27" s="32"/>
      <c r="N27" s="32"/>
      <c r="O27" s="32"/>
      <c r="P27" s="32"/>
      <c r="Q27" s="32"/>
      <c r="R27" s="32"/>
      <c r="S27" s="33"/>
    </row>
    <row r="28" spans="1:23" ht="17.25">
      <c r="B28" s="829" t="s">
        <v>14</v>
      </c>
      <c r="C28" s="807"/>
      <c r="D28" s="807"/>
      <c r="E28" s="808"/>
      <c r="F28" s="31"/>
      <c r="G28" s="32"/>
      <c r="H28" s="32"/>
      <c r="I28" s="32"/>
      <c r="J28" s="32"/>
      <c r="K28" s="32"/>
      <c r="L28" s="32"/>
      <c r="M28" s="32"/>
      <c r="N28" s="32"/>
      <c r="O28" s="32"/>
      <c r="P28" s="32"/>
      <c r="Q28" s="32"/>
      <c r="R28" s="32"/>
      <c r="S28" s="33"/>
    </row>
    <row r="29" spans="1:23" ht="18" thickBot="1">
      <c r="B29" s="830" t="s">
        <v>15</v>
      </c>
      <c r="C29" s="831"/>
      <c r="D29" s="831"/>
      <c r="E29" s="832"/>
      <c r="F29" s="25">
        <f>'[2]集計(統計)'!$I$57</f>
        <v>0</v>
      </c>
      <c r="G29" s="16">
        <f>'[2]集計(統計)'!$J$57</f>
        <v>0</v>
      </c>
      <c r="H29" s="16">
        <f>'[2]集計(統計)'!$I$58</f>
        <v>0</v>
      </c>
      <c r="I29" s="16">
        <f>'[2]集計(統計)'!$J$58</f>
        <v>0</v>
      </c>
      <c r="J29" s="16">
        <f>'[2]集計(統計)'!$I$59</f>
        <v>0</v>
      </c>
      <c r="K29" s="16">
        <f>'[2]集計(統計)'!$J$49</f>
        <v>0</v>
      </c>
      <c r="L29" s="16">
        <f>'[2]集計(統計)'!$I$60</f>
        <v>0</v>
      </c>
      <c r="M29" s="16">
        <f>'[2]集計(統計)'!$J$60</f>
        <v>0</v>
      </c>
      <c r="N29" s="16">
        <v>1</v>
      </c>
      <c r="O29" s="16">
        <v>8640975</v>
      </c>
      <c r="P29" s="16">
        <v>42</v>
      </c>
      <c r="Q29" s="16">
        <v>3962821331</v>
      </c>
      <c r="R29" s="16">
        <f>SUM(F29,H29,J29,L29,N29,P29)</f>
        <v>43</v>
      </c>
      <c r="S29" s="17">
        <f>SUM(G29,I29,K29,M29,O29,Q29)</f>
        <v>3971462306</v>
      </c>
      <c r="T29" s="34" t="s">
        <v>23</v>
      </c>
      <c r="U29" s="34"/>
      <c r="V29" s="34"/>
    </row>
    <row r="30" spans="1:23" ht="17.25">
      <c r="B30" s="35" t="s">
        <v>24</v>
      </c>
      <c r="C30" s="36"/>
      <c r="D30" s="36"/>
      <c r="E30" s="37"/>
      <c r="F30" s="38">
        <f t="shared" ref="F30:S30" si="9">SUM(F31:F34)</f>
        <v>5</v>
      </c>
      <c r="G30" s="39">
        <f t="shared" si="9"/>
        <v>2531710949</v>
      </c>
      <c r="H30" s="39">
        <f t="shared" si="9"/>
        <v>3</v>
      </c>
      <c r="I30" s="39">
        <f t="shared" si="9"/>
        <v>54570600</v>
      </c>
      <c r="J30" s="39">
        <f t="shared" si="9"/>
        <v>3</v>
      </c>
      <c r="K30" s="39">
        <f t="shared" si="9"/>
        <v>6452421123</v>
      </c>
      <c r="L30" s="39">
        <f t="shared" si="9"/>
        <v>7</v>
      </c>
      <c r="M30" s="39">
        <f t="shared" si="9"/>
        <v>148704968</v>
      </c>
      <c r="N30" s="39">
        <f t="shared" si="9"/>
        <v>30</v>
      </c>
      <c r="O30" s="39">
        <f t="shared" si="9"/>
        <v>1490194142</v>
      </c>
      <c r="P30" s="39">
        <f t="shared" si="9"/>
        <v>366</v>
      </c>
      <c r="Q30" s="39">
        <f t="shared" si="9"/>
        <v>13344785306</v>
      </c>
      <c r="R30" s="39">
        <f t="shared" si="9"/>
        <v>414</v>
      </c>
      <c r="S30" s="40">
        <f t="shared" si="9"/>
        <v>24022387088</v>
      </c>
      <c r="V30" s="34"/>
      <c r="W30" s="34"/>
    </row>
    <row r="31" spans="1:23" ht="17.25">
      <c r="B31" s="833" t="s">
        <v>12</v>
      </c>
      <c r="C31" s="807"/>
      <c r="D31" s="807"/>
      <c r="E31" s="808"/>
      <c r="F31" s="12">
        <f t="shared" ref="F31:S34" si="10">SUM(F6,F11,F16,F21,F26)</f>
        <v>2</v>
      </c>
      <c r="G31" s="13">
        <f t="shared" si="10"/>
        <v>38073333</v>
      </c>
      <c r="H31" s="12">
        <f t="shared" si="10"/>
        <v>2</v>
      </c>
      <c r="I31" s="13">
        <f t="shared" si="10"/>
        <v>20853000</v>
      </c>
      <c r="J31" s="12">
        <f t="shared" si="10"/>
        <v>1</v>
      </c>
      <c r="K31" s="13">
        <f t="shared" si="10"/>
        <v>7999005</v>
      </c>
      <c r="L31" s="12">
        <f t="shared" si="10"/>
        <v>4</v>
      </c>
      <c r="M31" s="13">
        <f t="shared" si="10"/>
        <v>110502894</v>
      </c>
      <c r="N31" s="12">
        <f t="shared" si="10"/>
        <v>2</v>
      </c>
      <c r="O31" s="13">
        <f t="shared" si="10"/>
        <v>4670026</v>
      </c>
      <c r="P31" s="12">
        <f t="shared" si="10"/>
        <v>52</v>
      </c>
      <c r="Q31" s="13">
        <f t="shared" si="10"/>
        <v>230259842</v>
      </c>
      <c r="R31" s="12">
        <f t="shared" si="10"/>
        <v>63</v>
      </c>
      <c r="S31" s="14">
        <f t="shared" si="10"/>
        <v>412358100</v>
      </c>
      <c r="T31" s="834" t="s">
        <v>25</v>
      </c>
      <c r="U31" s="835"/>
      <c r="V31" s="835"/>
      <c r="W31" s="835"/>
    </row>
    <row r="32" spans="1:23" ht="17.25">
      <c r="B32" s="836" t="s">
        <v>13</v>
      </c>
      <c r="C32" s="807"/>
      <c r="D32" s="807"/>
      <c r="E32" s="808"/>
      <c r="F32" s="41">
        <f t="shared" si="10"/>
        <v>1</v>
      </c>
      <c r="G32" s="42">
        <f t="shared" si="10"/>
        <v>619401000</v>
      </c>
      <c r="H32" s="41">
        <f t="shared" si="10"/>
        <v>0</v>
      </c>
      <c r="I32" s="42">
        <f t="shared" si="10"/>
        <v>0</v>
      </c>
      <c r="J32" s="41">
        <f t="shared" si="10"/>
        <v>0</v>
      </c>
      <c r="K32" s="42">
        <f t="shared" si="10"/>
        <v>0</v>
      </c>
      <c r="L32" s="41">
        <f t="shared" si="10"/>
        <v>0</v>
      </c>
      <c r="M32" s="42">
        <f t="shared" si="10"/>
        <v>0</v>
      </c>
      <c r="N32" s="41">
        <f t="shared" si="10"/>
        <v>0</v>
      </c>
      <c r="O32" s="42">
        <f t="shared" si="10"/>
        <v>0</v>
      </c>
      <c r="P32" s="41">
        <f t="shared" si="10"/>
        <v>1</v>
      </c>
      <c r="Q32" s="42">
        <f t="shared" si="10"/>
        <v>7793100</v>
      </c>
      <c r="R32" s="41">
        <f t="shared" si="10"/>
        <v>2</v>
      </c>
      <c r="S32" s="43">
        <f t="shared" si="10"/>
        <v>627194100</v>
      </c>
      <c r="T32" s="44">
        <v>30636777931</v>
      </c>
      <c r="U32" s="45">
        <v>-3383459666</v>
      </c>
      <c r="V32" s="45">
        <v>-2902234808</v>
      </c>
      <c r="W32" s="46">
        <v>-328696369</v>
      </c>
    </row>
    <row r="33" spans="2:23" ht="17.25">
      <c r="B33" s="825" t="s">
        <v>14</v>
      </c>
      <c r="C33" s="807"/>
      <c r="D33" s="807"/>
      <c r="E33" s="808"/>
      <c r="F33" s="47">
        <f t="shared" si="10"/>
        <v>0</v>
      </c>
      <c r="G33" s="48">
        <f t="shared" si="10"/>
        <v>0</v>
      </c>
      <c r="H33" s="47">
        <f t="shared" si="10"/>
        <v>0</v>
      </c>
      <c r="I33" s="48">
        <f t="shared" si="10"/>
        <v>0</v>
      </c>
      <c r="J33" s="47">
        <f t="shared" si="10"/>
        <v>0</v>
      </c>
      <c r="K33" s="48">
        <f t="shared" si="10"/>
        <v>0</v>
      </c>
      <c r="L33" s="47">
        <f t="shared" si="10"/>
        <v>0</v>
      </c>
      <c r="M33" s="48">
        <f t="shared" si="10"/>
        <v>0</v>
      </c>
      <c r="N33" s="47">
        <f t="shared" si="10"/>
        <v>0</v>
      </c>
      <c r="O33" s="48">
        <f t="shared" si="10"/>
        <v>0</v>
      </c>
      <c r="P33" s="47">
        <f t="shared" si="10"/>
        <v>5</v>
      </c>
      <c r="Q33" s="48">
        <f t="shared" si="10"/>
        <v>111504099</v>
      </c>
      <c r="R33" s="47">
        <f t="shared" si="10"/>
        <v>5</v>
      </c>
      <c r="S33" s="49">
        <f t="shared" si="10"/>
        <v>111504099</v>
      </c>
      <c r="W33" s="50" t="s">
        <v>26</v>
      </c>
    </row>
    <row r="34" spans="2:23" ht="18" thickBot="1">
      <c r="B34" s="827" t="s">
        <v>15</v>
      </c>
      <c r="C34" s="803"/>
      <c r="D34" s="803"/>
      <c r="E34" s="804"/>
      <c r="F34" s="51">
        <f t="shared" si="10"/>
        <v>2</v>
      </c>
      <c r="G34" s="52">
        <f t="shared" si="10"/>
        <v>1874236616</v>
      </c>
      <c r="H34" s="51">
        <f t="shared" si="10"/>
        <v>1</v>
      </c>
      <c r="I34" s="52">
        <f t="shared" si="10"/>
        <v>33717600</v>
      </c>
      <c r="J34" s="51">
        <f t="shared" si="10"/>
        <v>2</v>
      </c>
      <c r="K34" s="52">
        <f t="shared" si="10"/>
        <v>6444422118</v>
      </c>
      <c r="L34" s="53">
        <f>SUM(L9,L14,L19,L24,L29)</f>
        <v>3</v>
      </c>
      <c r="M34" s="52">
        <f t="shared" si="10"/>
        <v>38202074</v>
      </c>
      <c r="N34" s="51">
        <f t="shared" si="10"/>
        <v>28</v>
      </c>
      <c r="O34" s="52">
        <f t="shared" si="10"/>
        <v>1485524116</v>
      </c>
      <c r="P34" s="51">
        <f t="shared" si="10"/>
        <v>308</v>
      </c>
      <c r="Q34" s="52">
        <f t="shared" si="10"/>
        <v>12995228265</v>
      </c>
      <c r="R34" s="51">
        <f t="shared" si="10"/>
        <v>344</v>
      </c>
      <c r="S34" s="54">
        <f t="shared" si="10"/>
        <v>22871330789</v>
      </c>
    </row>
    <row r="35" spans="2:23" ht="14.25" thickTop="1">
      <c r="B35" s="55"/>
      <c r="F35"/>
    </row>
    <row r="36" spans="2:23" ht="14.25" thickBot="1">
      <c r="B36" s="55"/>
      <c r="F36"/>
    </row>
    <row r="37" spans="2:23" ht="18" thickTop="1">
      <c r="B37" s="56"/>
      <c r="C37" s="2"/>
      <c r="D37" s="2"/>
      <c r="E37" s="3"/>
      <c r="F37" s="828" t="s">
        <v>1</v>
      </c>
      <c r="G37" s="822"/>
      <c r="H37" s="821" t="s">
        <v>2</v>
      </c>
      <c r="I37" s="822"/>
      <c r="J37" s="821" t="s">
        <v>3</v>
      </c>
      <c r="K37" s="822"/>
      <c r="L37" s="821" t="s">
        <v>4</v>
      </c>
      <c r="M37" s="822"/>
      <c r="N37" s="821" t="s">
        <v>5</v>
      </c>
      <c r="O37" s="822"/>
      <c r="P37" s="821" t="s">
        <v>6</v>
      </c>
      <c r="Q37" s="822"/>
      <c r="R37" s="821" t="s">
        <v>7</v>
      </c>
      <c r="S37" s="823"/>
      <c r="T37" s="57" t="s">
        <v>27</v>
      </c>
      <c r="U37" s="58"/>
      <c r="V37" s="58" t="s">
        <v>28</v>
      </c>
      <c r="W37" s="59"/>
    </row>
    <row r="38" spans="2:23" ht="17.25">
      <c r="B38" s="60"/>
      <c r="C38" s="61"/>
      <c r="D38" s="61"/>
      <c r="E38" s="62"/>
      <c r="F38" s="63" t="s">
        <v>8</v>
      </c>
      <c r="G38" s="63" t="s">
        <v>9</v>
      </c>
      <c r="H38" s="63" t="s">
        <v>8</v>
      </c>
      <c r="I38" s="63" t="s">
        <v>9</v>
      </c>
      <c r="J38" s="63" t="s">
        <v>8</v>
      </c>
      <c r="K38" s="63" t="s">
        <v>9</v>
      </c>
      <c r="L38" s="63" t="s">
        <v>8</v>
      </c>
      <c r="M38" s="63" t="s">
        <v>9</v>
      </c>
      <c r="N38" s="63" t="s">
        <v>8</v>
      </c>
      <c r="O38" s="63" t="s">
        <v>9</v>
      </c>
      <c r="P38" s="63" t="s">
        <v>8</v>
      </c>
      <c r="Q38" s="63" t="s">
        <v>9</v>
      </c>
      <c r="R38" s="63" t="s">
        <v>8</v>
      </c>
      <c r="S38" s="64" t="s">
        <v>9</v>
      </c>
      <c r="T38" s="65" t="s">
        <v>8</v>
      </c>
      <c r="U38" s="63" t="s">
        <v>9</v>
      </c>
      <c r="V38" s="63" t="s">
        <v>8</v>
      </c>
      <c r="W38" s="66" t="s">
        <v>9</v>
      </c>
    </row>
    <row r="39" spans="2:23" ht="17.25">
      <c r="B39" s="824" t="s">
        <v>29</v>
      </c>
      <c r="C39" s="807"/>
      <c r="D39" s="807"/>
      <c r="E39" s="808"/>
      <c r="F39" s="67">
        <f t="shared" ref="F39:W39" si="11">SUM(F40:F43)</f>
        <v>1</v>
      </c>
      <c r="G39" s="67">
        <f t="shared" si="11"/>
        <v>619401000</v>
      </c>
      <c r="H39" s="67">
        <f t="shared" si="11"/>
        <v>0</v>
      </c>
      <c r="I39" s="67">
        <f t="shared" si="11"/>
        <v>0</v>
      </c>
      <c r="J39" s="67">
        <f t="shared" si="11"/>
        <v>0</v>
      </c>
      <c r="K39" s="67">
        <f t="shared" si="11"/>
        <v>0</v>
      </c>
      <c r="L39" s="67">
        <f t="shared" si="11"/>
        <v>0</v>
      </c>
      <c r="M39" s="67">
        <f t="shared" si="11"/>
        <v>0</v>
      </c>
      <c r="N39" s="67">
        <f t="shared" si="11"/>
        <v>0</v>
      </c>
      <c r="O39" s="67">
        <f t="shared" si="11"/>
        <v>0</v>
      </c>
      <c r="P39" s="67">
        <f t="shared" si="11"/>
        <v>1</v>
      </c>
      <c r="Q39" s="67">
        <f t="shared" si="11"/>
        <v>7793100</v>
      </c>
      <c r="R39" s="68">
        <f t="shared" si="11"/>
        <v>2</v>
      </c>
      <c r="S39" s="69">
        <f t="shared" si="11"/>
        <v>627194100</v>
      </c>
      <c r="T39" s="70">
        <f t="shared" si="11"/>
        <v>1</v>
      </c>
      <c r="U39" s="67">
        <f t="shared" si="11"/>
        <v>619401000</v>
      </c>
      <c r="V39" s="67">
        <f t="shared" si="11"/>
        <v>1</v>
      </c>
      <c r="W39" s="71">
        <f t="shared" si="11"/>
        <v>7793100</v>
      </c>
    </row>
    <row r="40" spans="2:23" ht="17.25">
      <c r="B40" s="72" t="s">
        <v>30</v>
      </c>
      <c r="C40" s="73"/>
      <c r="D40" s="73"/>
      <c r="E40" s="74"/>
      <c r="F40" s="13">
        <f>COUNTIF($B$87:$B$639,"①アB22")+COUNTIF($B$87:$B$639,"①イB22")+COUNTIF($B$87:$B$639,"①カB22")</f>
        <v>0</v>
      </c>
      <c r="G40" s="13">
        <f>SUMIF($B$87:$B$639,"①アB22",$Y$87:$Y$639)+SUMIF($B$87:$B$639,"①イB22",$Y$87:$Y$639)+SUMIF($B$87:$B$639,"①カB22",$Y$87:$Y$639)</f>
        <v>0</v>
      </c>
      <c r="H40" s="13">
        <f>COUNTIF($B$87:$B$639,"②アB22")+COUNTIF($B$87:$B$639,"②イB22")+COUNTIF($B$87:$B$639,"②カB22")</f>
        <v>0</v>
      </c>
      <c r="I40" s="13">
        <f>SUMIF($B$87:$B$639,"②アB22",$Y$87:$Y$639)+SUMIF($B$87:$B$639,"②イB22",$Y$87:$Y$639)+SUMIF($B$87:$B$639,"②カB22",$Y$87:$Y$639)</f>
        <v>0</v>
      </c>
      <c r="J40" s="13">
        <f>COUNTIF($B$87:$B$639,"③アB22")+COUNTIF($B$87:$B$639,"③イB22")+COUNTIF($B$87:$B$639,"③カB22")</f>
        <v>0</v>
      </c>
      <c r="K40" s="13">
        <f>SUMIF($B$87:$B$639,"③アB22",$Y$87:$Y$639)+SUMIF($B$87:$B$639,"③イB22",$Y$87:$Y$639)+SUMIF($B$87:$B$639,"③カB22",$Y$87:$Y$639)</f>
        <v>0</v>
      </c>
      <c r="L40" s="13">
        <f>COUNTIF($B$87:$B$639,"④アB22")+COUNTIF($B$87:$B$639,"④イB22")+COUNTIF($B$87:$B$639,"④カB22")</f>
        <v>0</v>
      </c>
      <c r="M40" s="13">
        <f>SUMIF($B$87:$B$639,"④アB22",$Y$87:$Y$639)+SUMIF($B$87:$B$639,"④イB22",$Y$87:$Y$639)+SUMIF($B$87:$B$639,"④カB22",$Y$87:$Y$639)</f>
        <v>0</v>
      </c>
      <c r="N40" s="13">
        <f>COUNTIF($B$87:$B$639,"⑤アB22")+COUNTIF($B$87:$B$639,"⑤イB22")+COUNTIF($B$87:$B$639,"⑤カB22")</f>
        <v>0</v>
      </c>
      <c r="O40" s="13">
        <f>SUMIF($B$87:$B$639,"⑤アB22",$Y$87:$Y$639)+SUMIF($B$87:$B$639,"⑤イB22",$Y$87:$Y$639)+SUMIF($B$87:$B$639,"⑤カB22",$Y$87:$Y$639)</f>
        <v>0</v>
      </c>
      <c r="P40" s="13">
        <f>COUNTIF($B$87:$B$639,"⑥アB22")+COUNTIF($B$87:$B$639,"⑥イB22")+COUNTIF($B$87:$B$639,"⑥カB22")</f>
        <v>0</v>
      </c>
      <c r="Q40" s="13">
        <f>SUMIF($B$87:$B$639,"⑥アB22",$Y$87:$Y$639)+SUMIF($B$87:$B$639,"⑥イB22",$Y$87:$Y$639)+SUMIF($B$87:$B$639,"⑥カB22",$Y$87:$Y$639)</f>
        <v>0</v>
      </c>
      <c r="R40" s="13">
        <f t="shared" ref="R40:S43" si="12">SUM(F40,H40,J40,L40,N40,P40)</f>
        <v>0</v>
      </c>
      <c r="S40" s="75">
        <f t="shared" si="12"/>
        <v>0</v>
      </c>
      <c r="T40" s="76">
        <f t="shared" ref="T40:U43" si="13">F40+J40+L40+N40</f>
        <v>0</v>
      </c>
      <c r="U40" s="13">
        <f t="shared" si="13"/>
        <v>0</v>
      </c>
      <c r="V40" s="13">
        <f t="shared" ref="V40:W43" si="14">H40+P40</f>
        <v>0</v>
      </c>
      <c r="W40" s="14">
        <f t="shared" si="14"/>
        <v>0</v>
      </c>
    </row>
    <row r="41" spans="2:23" ht="17.25">
      <c r="B41" s="72" t="s">
        <v>31</v>
      </c>
      <c r="C41" s="73"/>
      <c r="D41" s="73"/>
      <c r="E41" s="74"/>
      <c r="F41" s="13">
        <f>COUNTIF($B$87:$B$639,"①アB23")+COUNTIF($B$87:$B$639,"①イB23")+COUNTIF($B$87:$B$639,"①カB23")</f>
        <v>1</v>
      </c>
      <c r="G41" s="13">
        <f>SUMIF($B$87:$B$639,"①アB23",$Y$87:$Y$639)+SUMIF($B$87:$B$639,"①イB23",$Y$87:$Y$639)+SUMIF($B$87:$B$639,"①カB23",$Y$87:$Y$639)</f>
        <v>619401000</v>
      </c>
      <c r="H41" s="13">
        <f>COUNTIF($B$87:$B$639,"②アB23")+COUNTIF($B$87:$B$639,"②イB23")+COUNTIF($B$87:$B$639,"②カB23")</f>
        <v>0</v>
      </c>
      <c r="I41" s="13">
        <f>SUMIF($B$87:$B$639,"②アB23",$Y$87:$Y$639)+SUMIF($B$87:$B$639,"②イB23",$Y$87:$Y$639)+SUMIF($B$87:$B$639,"②カB23",$Y$87:$Y$639)</f>
        <v>0</v>
      </c>
      <c r="J41" s="13">
        <f>COUNTIF($B$87:$B$639,"③アB23")+COUNTIF($B$87:$B$639,"③イB23")+COUNTIF($B$87:$B$639,"③カB23")</f>
        <v>0</v>
      </c>
      <c r="K41" s="13">
        <f>SUMIF($B$87:$B$639,"③アB23",$Y$87:$Y$639)+SUMIF($B$87:$B$639,"③イB23",$Y$87:$Y$639)+SUMIF($B$87:$B$639,"③カB23",$Y$87:$Y$639)</f>
        <v>0</v>
      </c>
      <c r="L41" s="13">
        <f>COUNTIF($B$87:$B$639,"④アB23")+COUNTIF($B$87:$B$639,"④イB23")+COUNTIF($B$87:$B$639,"④カB23")</f>
        <v>0</v>
      </c>
      <c r="M41" s="13">
        <f>SUMIF($B$87:$B$639,"④アB23",$Y$87:$Y$639)+SUMIF($B$87:$B$639,"④イB23",$Y$87:$Y$639)+SUMIF($B$87:$B$639,"④カB23",$Y$87:$Y$639)</f>
        <v>0</v>
      </c>
      <c r="N41" s="13">
        <f>COUNTIF($B$87:$B$639,"⑤アB23")+COUNTIF($B$87:$B$639,"⑤イB23")+COUNTIF($B$87:$B$639,"⑤カB23")</f>
        <v>0</v>
      </c>
      <c r="O41" s="13">
        <f>SUMIF($B$87:$B$639,"⑤アB23",$Y$87:$Y$639)+SUMIF($B$87:$B$639,"⑤イB23",$Y$87:$Y$639)+SUMIF($B$87:$B$639,"⑤カB23",$Y$87:$Y$639)</f>
        <v>0</v>
      </c>
      <c r="P41" s="13">
        <f>COUNTIF($B$87:$B$639,"⑥アB23")+COUNTIF($B$87:$B$639,"⑥イB23")+COUNTIF($B$87:$B$639,"⑥カB23")</f>
        <v>0</v>
      </c>
      <c r="Q41" s="13">
        <f>SUMIF($B$87:$B$639,"⑥アB23",$Y$87:$Y$639)+SUMIF($B$87:$B$639,"⑥イB23",$Y$87:$Y$639)+SUMIF($B$87:$B$639,"⑥カB23",$Y$87:$Y$639)</f>
        <v>0</v>
      </c>
      <c r="R41" s="13">
        <f t="shared" si="12"/>
        <v>1</v>
      </c>
      <c r="S41" s="75">
        <f t="shared" si="12"/>
        <v>619401000</v>
      </c>
      <c r="T41" s="76">
        <f t="shared" si="13"/>
        <v>1</v>
      </c>
      <c r="U41" s="13">
        <f t="shared" si="13"/>
        <v>619401000</v>
      </c>
      <c r="V41" s="13">
        <f t="shared" si="14"/>
        <v>0</v>
      </c>
      <c r="W41" s="14">
        <f t="shared" si="14"/>
        <v>0</v>
      </c>
    </row>
    <row r="42" spans="2:23" ht="17.25">
      <c r="B42" s="72" t="s">
        <v>32</v>
      </c>
      <c r="C42" s="73"/>
      <c r="D42" s="73"/>
      <c r="E42" s="74"/>
      <c r="F42" s="13">
        <f>COUNTIF($B$87:$B$639,"①アB24")+COUNTIF($B$87:$B$639,"①イB24")+COUNTIF($B$87:$B$639,"①カB24")</f>
        <v>0</v>
      </c>
      <c r="G42" s="13">
        <f>SUMIF($B$87:$B$639,"①アB24",$Y$87:$Y$639)+SUMIF($B$87:$B$639,"①イB24",$Y$87:$Y$639)+SUMIF($B$87:$B$639,"①カB24",$Y$87:$Y$639)</f>
        <v>0</v>
      </c>
      <c r="H42" s="13">
        <f>COUNTIF($B$87:$B$639,"②アB24")+COUNTIF($B$87:$B$639,"②イB24")+COUNTIF($B$87:$B$639,"②カB24")</f>
        <v>0</v>
      </c>
      <c r="I42" s="13">
        <f>SUMIF($B$87:$B$639,"②アB24",$Y$87:$Y$639)+SUMIF($B$87:$B$639,"②イB24",$Y$87:$Y$639)+SUMIF($B$87:$B$639,"②カB24",$Y$87:$Y$639)</f>
        <v>0</v>
      </c>
      <c r="J42" s="13">
        <f>COUNTIF($B$87:$B$639,"③アB24")+COUNTIF($B$87:$B$639,"③イB24")+COUNTIF($B$87:$B$639,"③カB24")</f>
        <v>0</v>
      </c>
      <c r="K42" s="13">
        <f>SUMIF($B$87:$B$639,"③アB24",$Y$87:$Y$639)+SUMIF($B$87:$B$639,"③イB24",$Y$87:$Y$639)+SUMIF($B$87:$B$639,"③カB24",$Y$87:$Y$639)</f>
        <v>0</v>
      </c>
      <c r="L42" s="13">
        <f>COUNTIF($B$87:$B$639,"④アB24")+COUNTIF($B$87:$B$639,"④イB24")+COUNTIF($B$87:$B$639,"④カB24")</f>
        <v>0</v>
      </c>
      <c r="M42" s="13">
        <f>SUMIF($B$87:$B$639,"④アB24",$Y$87:$Y$639)+SUMIF($B$87:$B$639,"④イB24",$Y$87:$Y$639)+SUMIF($B$87:$B$639,"④カB24",$Y$87:$Y$639)</f>
        <v>0</v>
      </c>
      <c r="N42" s="13">
        <f>COUNTIF($B$87:$B$639,"⑤アB24")+COUNTIF($B$87:$B$639,"⑤イB24")+COUNTIF($B$87:$B$639,"⑤カB24")</f>
        <v>0</v>
      </c>
      <c r="O42" s="13">
        <f>SUMIF($B$87:$B$639,"⑤アB24",$Y$87:$Y$639)+SUMIF($B$87:$B$639,"⑤イB24",$Y$87:$Y$639)+SUMIF($B$87:$B$639,"⑤カB24",$Y$87:$Y$639)</f>
        <v>0</v>
      </c>
      <c r="P42" s="13">
        <f>COUNTIF($B$87:$B$639,"⑥アB24")+COUNTIF($B$87:$B$639,"⑥イB24")+COUNTIF($B$87:$B$639,"⑥カB24")</f>
        <v>1</v>
      </c>
      <c r="Q42" s="13">
        <f>SUMIF($B$87:$B$639,"⑥アB24",$Y$87:$Y$639)+SUMIF($B$87:$B$639,"⑥イB24",$Y$87:$Y$639)+SUMIF($B$87:$B$639,"⑥カB24",$Y$87:$Y$639)</f>
        <v>7793100</v>
      </c>
      <c r="R42" s="13">
        <f t="shared" si="12"/>
        <v>1</v>
      </c>
      <c r="S42" s="75">
        <f t="shared" si="12"/>
        <v>7793100</v>
      </c>
      <c r="T42" s="76">
        <f t="shared" si="13"/>
        <v>0</v>
      </c>
      <c r="U42" s="13">
        <f t="shared" si="13"/>
        <v>0</v>
      </c>
      <c r="V42" s="13">
        <f t="shared" si="14"/>
        <v>1</v>
      </c>
      <c r="W42" s="14">
        <f t="shared" si="14"/>
        <v>7793100</v>
      </c>
    </row>
    <row r="43" spans="2:23" ht="17.25">
      <c r="B43" s="77" t="s">
        <v>33</v>
      </c>
      <c r="C43" s="73"/>
      <c r="D43" s="73"/>
      <c r="E43" s="74"/>
      <c r="F43" s="13">
        <f>COUNTIF($B$87:$B$639,"①アBその他")+COUNTIF($B$87:$B$639,"①イBその他")+COUNTIF($B$87:$B$639,"①カBその他")</f>
        <v>0</v>
      </c>
      <c r="G43" s="13">
        <f>SUMIF($B$87:$B$639,"①アBその他",$Y$87:$Y$639)+SUMIF($B$87:$B$639,"①イBその他",$Y$87:$Y$639)+SUMIF($B$87:$B$639,"①カBその他",$Y$87:$Y$639)</f>
        <v>0</v>
      </c>
      <c r="H43" s="13">
        <f>COUNTIF($B$87:$B$639,"②アBその他")+COUNTIF($B$87:$B$639,"②イBその他")+COUNTIF($B$87:$B$639,"②カBその他")</f>
        <v>0</v>
      </c>
      <c r="I43" s="13">
        <f>SUMIF($B$87:$B$639,"②アBその他",$Y$87:$Y$639)+SUMIF($B$87:$B$639,"②イBその他",$Y$87:$Y$639)+SUMIF($B$87:$B$639,"②カBその他",$Y$87:$Y$639)</f>
        <v>0</v>
      </c>
      <c r="J43" s="13">
        <f>COUNTIF($B$87:$B$639,"③アBその他")+COUNTIF($B$87:$B$639,"③イBその他")+COUNTIF($B$87:$B$639,"③カBその他")</f>
        <v>0</v>
      </c>
      <c r="K43" s="13">
        <f>SUMIF($B$87:$B$639,"③アBその他",$Y$87:$Y$639)+SUMIF($B$87:$B$639,"③イBその他",$Y$87:$Y$639)+SUMIF($B$87:$B$639,"③カBその他",$Y$87:$Y$639)</f>
        <v>0</v>
      </c>
      <c r="L43" s="13">
        <f>COUNTIF($B$87:$B$639,"④アBその他")+COUNTIF($B$87:$B$639,"④イBその他")+COUNTIF($B$87:$B$639,"④カBその他")</f>
        <v>0</v>
      </c>
      <c r="M43" s="13">
        <f>SUMIF($B$87:$B$639,"④アBその他",$Y$87:$Y$639)+SUMIF($B$87:$B$639,"④イBその他",$Y$87:$Y$639)+SUMIF($B$87:$B$639,"④カBその他",$Y$87:$Y$639)</f>
        <v>0</v>
      </c>
      <c r="N43" s="13">
        <f>COUNTIF($B$87:$B$639,"⑤アBその他")+COUNTIF($B$87:$B$639,"⑤イBその他")+COUNTIF($B$87:$B$639,"⑤カBその他")</f>
        <v>0</v>
      </c>
      <c r="O43" s="13">
        <f>SUMIF($B$87:$B$639,"⑤アBその他",$Y$87:$Y$639)+SUMIF($B$87:$B$639,"⑤イBその他",$Y$87:$Y$639)+SUMIF($B$87:$B$639,"⑤カBその他",$Y$87:$Y$639)</f>
        <v>0</v>
      </c>
      <c r="P43" s="13">
        <f>COUNTIF($B$87:$B$639,"⑥アBその他")+COUNTIF($B$87:$B$639,"⑥イBその他")+COUNTIF($B$87:$B$639,"⑥カBその他")</f>
        <v>0</v>
      </c>
      <c r="Q43" s="13">
        <f>SUMIF($B$87:$B$639,"⑥アBその他",$Y$87:$Y$639)+SUMIF($B$87:$B$639,"⑥イBその他",$Y$87:$Y$639)+SUMIF($B$87:$B$639,"⑥カBその他",$Y$87:$Y$639)</f>
        <v>0</v>
      </c>
      <c r="R43" s="13">
        <f t="shared" si="12"/>
        <v>0</v>
      </c>
      <c r="S43" s="75">
        <f t="shared" si="12"/>
        <v>0</v>
      </c>
      <c r="T43" s="76">
        <f t="shared" si="13"/>
        <v>0</v>
      </c>
      <c r="U43" s="13">
        <f t="shared" si="13"/>
        <v>0</v>
      </c>
      <c r="V43" s="13">
        <f t="shared" si="14"/>
        <v>0</v>
      </c>
      <c r="W43" s="14">
        <f t="shared" si="14"/>
        <v>0</v>
      </c>
    </row>
    <row r="44" spans="2:23" ht="17.25">
      <c r="B44" s="825" t="s">
        <v>34</v>
      </c>
      <c r="C44" s="807"/>
      <c r="D44" s="807"/>
      <c r="E44" s="808"/>
      <c r="F44" s="48">
        <f t="shared" ref="F44:W44" si="15">SUM(F45:F48)</f>
        <v>0</v>
      </c>
      <c r="G44" s="48">
        <f t="shared" si="15"/>
        <v>0</v>
      </c>
      <c r="H44" s="48">
        <f t="shared" si="15"/>
        <v>0</v>
      </c>
      <c r="I44" s="48">
        <f t="shared" si="15"/>
        <v>0</v>
      </c>
      <c r="J44" s="48">
        <f t="shared" si="15"/>
        <v>0</v>
      </c>
      <c r="K44" s="48">
        <f t="shared" si="15"/>
        <v>0</v>
      </c>
      <c r="L44" s="48">
        <f t="shared" si="15"/>
        <v>0</v>
      </c>
      <c r="M44" s="48">
        <f t="shared" si="15"/>
        <v>0</v>
      </c>
      <c r="N44" s="48">
        <f t="shared" si="15"/>
        <v>0</v>
      </c>
      <c r="O44" s="48">
        <f t="shared" si="15"/>
        <v>0</v>
      </c>
      <c r="P44" s="48">
        <f t="shared" si="15"/>
        <v>5</v>
      </c>
      <c r="Q44" s="48">
        <f t="shared" si="15"/>
        <v>111504099</v>
      </c>
      <c r="R44" s="78">
        <f t="shared" si="15"/>
        <v>5</v>
      </c>
      <c r="S44" s="79">
        <f t="shared" si="15"/>
        <v>111504099</v>
      </c>
      <c r="T44" s="80">
        <f t="shared" si="15"/>
        <v>0</v>
      </c>
      <c r="U44" s="48">
        <f t="shared" si="15"/>
        <v>0</v>
      </c>
      <c r="V44" s="48">
        <f t="shared" si="15"/>
        <v>5</v>
      </c>
      <c r="W44" s="49">
        <f t="shared" si="15"/>
        <v>111504099</v>
      </c>
    </row>
    <row r="45" spans="2:23" ht="17.25">
      <c r="B45" s="72" t="s">
        <v>30</v>
      </c>
      <c r="C45" s="73"/>
      <c r="D45" s="73"/>
      <c r="E45" s="74"/>
      <c r="F45" s="13">
        <f>COUNTIF($B$87:$B$639,"①アC22")+COUNTIF($B$87:$B$639,"①イC22")+COUNTIF($B$87:$B$639,"①カC22")</f>
        <v>0</v>
      </c>
      <c r="G45" s="13">
        <f>SUMIF($B$87:$B$639,"①アC22",$Y$87:$Y$639)+SUMIF($B$87:$B$639,"①イC22",$Y$87:$Y$639)+SUMIF($B$87:$B$639,"①カC22",$Y$87:$Y$639)</f>
        <v>0</v>
      </c>
      <c r="H45" s="13">
        <f>COUNTIF($B$87:$B$639,"②アC22")+COUNTIF($B$87:$B$639,"②イC22")+COUNTIF($B$87:$B$639,"②カC22")</f>
        <v>0</v>
      </c>
      <c r="I45" s="13">
        <f>SUMIF($B$87:$B$639,"②アC22",$Y$87:$Y$639)+SUMIF($B$87:$B$639,"②イC22",$Y$87:$Y$639)+SUMIF($B$87:$B$639,"②カC22",$Y$87:$Y$639)</f>
        <v>0</v>
      </c>
      <c r="J45" s="13">
        <f>COUNTIF($B$87:$B$639,"③アC22")+COUNTIF($B$87:$B$639,"③イC22")+COUNTIF($B$87:$B$639,"③カC22")</f>
        <v>0</v>
      </c>
      <c r="K45" s="13">
        <f>SUMIF($B$87:$B$639,"③アC22",$Y$87:$Y$639)+SUMIF($B$87:$B$639,"③イC22",$Y$87:$Y$639)+SUMIF($B$87:$B$639,"③カC22",$Y$87:$Y$639)</f>
        <v>0</v>
      </c>
      <c r="L45" s="13">
        <f>COUNTIF($B$87:$B$639,"④アC22")+COUNTIF($B$87:$B$639,"④イC22")+COUNTIF($B$87:$B$639,"④カC22")</f>
        <v>0</v>
      </c>
      <c r="M45" s="13">
        <f>SUMIF($B$87:$B$639,"④アC22",$Y$87:$Y$639)+SUMIF($B$87:$B$639,"④イC22",$Y$87:$Y$639)+SUMIF($B$87:$B$639,"④カC22",$Y$87:$Y$639)</f>
        <v>0</v>
      </c>
      <c r="N45" s="13">
        <f>COUNTIF($B$87:$B$639,"⑤アC22")+COUNTIF($B$87:$B$639,"⑤イC22")+COUNTIF($B$87:$B$639,"⑤カC22")</f>
        <v>0</v>
      </c>
      <c r="O45" s="13">
        <f>SUMIF($B$87:$B$639,"⑤アC22",$Y$87:$Y$639)+SUMIF($B$87:$B$639,"⑤イC22",$Y$87:$Y$639)+SUMIF($B$87:$B$639,"⑤カC22",$Y$87:$Y$639)</f>
        <v>0</v>
      </c>
      <c r="P45" s="13">
        <f>COUNTIF($B$87:$B$639,"⑥アC22")+COUNTIF($B$87:$B$639,"⑥イC22")+COUNTIF($B$87:$B$639,"⑥カC22")</f>
        <v>5</v>
      </c>
      <c r="Q45" s="13">
        <f>SUMIF($B$87:$B$639,"⑥アC22",$Y$87:$Y$639)+SUMIF($B$87:$B$639,"⑥イC22",$Y$87:$Y$639)+SUMIF($B$87:$B$639,"⑥カC22",$Y$87:$Y$639)</f>
        <v>111504099</v>
      </c>
      <c r="R45" s="13">
        <f t="shared" ref="R45:S48" si="16">SUM(F45,H45,J45,L45,N45,P45)</f>
        <v>5</v>
      </c>
      <c r="S45" s="75">
        <f t="shared" si="16"/>
        <v>111504099</v>
      </c>
      <c r="T45" s="76">
        <f t="shared" ref="T45:U48" si="17">F45+J45+L45+N45</f>
        <v>0</v>
      </c>
      <c r="U45" s="13">
        <f t="shared" si="17"/>
        <v>0</v>
      </c>
      <c r="V45" s="13">
        <f t="shared" ref="V45:W48" si="18">H45+P45</f>
        <v>5</v>
      </c>
      <c r="W45" s="14">
        <f t="shared" si="18"/>
        <v>111504099</v>
      </c>
    </row>
    <row r="46" spans="2:23" ht="17.25">
      <c r="B46" s="72" t="s">
        <v>31</v>
      </c>
      <c r="C46" s="73"/>
      <c r="D46" s="73"/>
      <c r="E46" s="74"/>
      <c r="F46" s="13">
        <f>COUNTIF($B$87:$B$639,"①アC23")+COUNTIF($B$87:$B$639,"①イC23")+COUNTIF($B$87:$B$639,"①カC23")</f>
        <v>0</v>
      </c>
      <c r="G46" s="13">
        <f>SUMIF($B$87:$B$639,"①アC23",$Y$87:$Y$639)+SUMIF($B$87:$B$639,"①イC23",$Y$87:$Y$639)+SUMIF($B$87:$B$639,"①カC23",$Y$87:$Y$639)</f>
        <v>0</v>
      </c>
      <c r="H46" s="13">
        <f>COUNTIF($B$87:$B$639,"②アC23")+COUNTIF($B$87:$B$639,"②イC23")+COUNTIF($B$87:$B$639,"②カC23")</f>
        <v>0</v>
      </c>
      <c r="I46" s="13">
        <f>SUMIF($B$87:$B$639,"②アC23",$Y$87:$Y$639)+SUMIF($B$87:$B$639,"②イC23",$Y$87:$Y$639)+SUMIF($B$87:$B$639,"②カC23",$Y$87:$Y$639)</f>
        <v>0</v>
      </c>
      <c r="J46" s="13">
        <f>COUNTIF($B$87:$B$639,"③アC23")+COUNTIF($B$87:$B$639,"③イC23")+COUNTIF($B$87:$B$639,"③カC23")</f>
        <v>0</v>
      </c>
      <c r="K46" s="13">
        <f>SUMIF($B$87:$B$639,"③アC23",$Y$87:$Y$639)+SUMIF($B$87:$B$639,"③イC23",$Y$87:$Y$639)+SUMIF($B$87:$B$639,"③カC23",$Y$87:$Y$639)</f>
        <v>0</v>
      </c>
      <c r="L46" s="13">
        <f>COUNTIF($B$87:$B$639,"④アC23")+COUNTIF($B$87:$B$639,"④イC23")+COUNTIF($B$87:$B$639,"④カC23")</f>
        <v>0</v>
      </c>
      <c r="M46" s="13">
        <f>SUMIF($B$87:$B$639,"④アC23",$Y$87:$Y$639)+SUMIF($B$87:$B$639,"④イC23",$Y$87:$Y$639)+SUMIF($B$87:$B$639,"④カC23",$Y$87:$Y$639)</f>
        <v>0</v>
      </c>
      <c r="N46" s="13">
        <f>COUNTIF($B$87:$B$639,"⑤アC23")+COUNTIF($B$87:$B$639,"⑤イC23")+COUNTIF($B$87:$B$639,"⑤カC23")</f>
        <v>0</v>
      </c>
      <c r="O46" s="13">
        <f>SUMIF($B$87:$B$639,"⑤アC23",$Y$87:$Y$639)+SUMIF($B$87:$B$639,"⑤イC23",$Y$87:$Y$639)+SUMIF($B$87:$B$639,"⑤カC23",$Y$87:$Y$639)</f>
        <v>0</v>
      </c>
      <c r="P46" s="13">
        <f>COUNTIF($B$87:$B$639,"⑥アC23")+COUNTIF($B$87:$B$639,"⑥イC23")+COUNTIF($B$87:$B$639,"⑥カC23")</f>
        <v>0</v>
      </c>
      <c r="Q46" s="13">
        <f>SUMIF($B$87:$B$639,"⑥アC23",$Y$87:$Y$639)+SUMIF($B$87:$B$639,"⑥イC23",$Y$87:$Y$639)+SUMIF($B$87:$B$639,"⑥カC23",$Y$87:$Y$639)</f>
        <v>0</v>
      </c>
      <c r="R46" s="13">
        <f t="shared" si="16"/>
        <v>0</v>
      </c>
      <c r="S46" s="75">
        <f t="shared" si="16"/>
        <v>0</v>
      </c>
      <c r="T46" s="76">
        <f t="shared" si="17"/>
        <v>0</v>
      </c>
      <c r="U46" s="13">
        <f t="shared" si="17"/>
        <v>0</v>
      </c>
      <c r="V46" s="13">
        <f t="shared" si="18"/>
        <v>0</v>
      </c>
      <c r="W46" s="14">
        <f t="shared" si="18"/>
        <v>0</v>
      </c>
    </row>
    <row r="47" spans="2:23" ht="17.25" customHeight="1">
      <c r="B47" s="72" t="s">
        <v>32</v>
      </c>
      <c r="C47" s="73"/>
      <c r="D47" s="73"/>
      <c r="E47" s="74"/>
      <c r="F47" s="13">
        <f>COUNTIF($B$87:$B$639,"①アC24")+COUNTIF($B$87:$B$639,"①イC24")+COUNTIF($B$87:$B$639,"①カC24")</f>
        <v>0</v>
      </c>
      <c r="G47" s="13">
        <f>SUMIF($B$87:$B$639,"①アC24",$Y$87:$Y$639)+SUMIF($B$87:$B$639,"①イC24",$Y$87:$Y$639)+SUMIF($B$87:$B$639,"①カC24",$Y$87:$Y$639)</f>
        <v>0</v>
      </c>
      <c r="H47" s="13">
        <f>COUNTIF($B$87:$B$639,"②アC24")+COUNTIF($B$87:$B$639,"②イC24")+COUNTIF($B$87:$B$639,"②カC24")</f>
        <v>0</v>
      </c>
      <c r="I47" s="13">
        <f>SUMIF($B$87:$B$639,"②アC24",$Y$87:$Y$639)+SUMIF($B$87:$B$639,"②イC24",$Y$87:$Y$639)+SUMIF($B$87:$B$639,"②カC24",$Y$87:$Y$639)</f>
        <v>0</v>
      </c>
      <c r="J47" s="13">
        <f>COUNTIF($B$87:$B$639,"③アC24")+COUNTIF($B$87:$B$639,"③イC24")+COUNTIF($B$87:$B$639,"③カC24")</f>
        <v>0</v>
      </c>
      <c r="K47" s="13">
        <f>SUMIF($B$87:$B$639,"③アC24",$Y$87:$Y$639)+SUMIF($B$87:$B$639,"③イC24",$Y$87:$Y$639)+SUMIF($B$87:$B$639,"③カC24",$Y$87:$Y$639)</f>
        <v>0</v>
      </c>
      <c r="L47" s="13">
        <f>COUNTIF($B$87:$B$639,"④アC24")+COUNTIF($B$87:$B$639,"④イC24")+COUNTIF($B$87:$B$639,"④カC24")</f>
        <v>0</v>
      </c>
      <c r="M47" s="13">
        <f>SUMIF($B$87:$B$639,"④アC24",$Y$87:$Y$639)+SUMIF($B$87:$B$639,"④イC24",$Y$87:$Y$639)+SUMIF($B$87:$B$639,"④カC24",$Y$87:$Y$639)</f>
        <v>0</v>
      </c>
      <c r="N47" s="13">
        <f>COUNTIF($B$87:$B$639,"⑤アC24")+COUNTIF($B$87:$B$639,"⑤イC24")+COUNTIF($B$87:$B$639,"⑤カC24")</f>
        <v>0</v>
      </c>
      <c r="O47" s="13">
        <f>SUMIF($B$87:$B$639,"⑤アC24",$Y$87:$Y$639)+SUMIF($B$87:$B$639,"⑤イC24",$Y$87:$Y$639)+SUMIF($B$87:$B$639,"⑤カC24",$Y$87:$Y$639)</f>
        <v>0</v>
      </c>
      <c r="P47" s="13">
        <f>COUNTIF($B$87:$B$639,"⑥アC24")+COUNTIF($B$87:$B$639,"⑥イC24")+COUNTIF($B$87:$B$639,"⑥カC24")</f>
        <v>0</v>
      </c>
      <c r="Q47" s="13">
        <f>SUMIF($B$87:$B$639,"⑥アC24",$Y$87:$Y$639)+SUMIF($B$87:$B$639,"⑥イC24",$Y$87:$Y$639)+SUMIF($B$87:$B$639,"⑥カC24",$Y$87:$Y$639)</f>
        <v>0</v>
      </c>
      <c r="R47" s="13">
        <f t="shared" si="16"/>
        <v>0</v>
      </c>
      <c r="S47" s="75">
        <f t="shared" si="16"/>
        <v>0</v>
      </c>
      <c r="T47" s="76">
        <f t="shared" si="17"/>
        <v>0</v>
      </c>
      <c r="U47" s="13">
        <f t="shared" si="17"/>
        <v>0</v>
      </c>
      <c r="V47" s="13">
        <f t="shared" si="18"/>
        <v>0</v>
      </c>
      <c r="W47" s="14">
        <f t="shared" si="18"/>
        <v>0</v>
      </c>
    </row>
    <row r="48" spans="2:23" ht="18" thickBot="1">
      <c r="B48" s="81" t="s">
        <v>33</v>
      </c>
      <c r="C48" s="82"/>
      <c r="D48" s="82"/>
      <c r="E48" s="83"/>
      <c r="F48" s="52">
        <f>COUNTIF($B$87:$B$639,"①アCその他")+COUNTIF($B$87:$B$639,"①イCその他")+COUNTIF($B$87:$B$639,"①カCその他")</f>
        <v>0</v>
      </c>
      <c r="G48" s="52">
        <f>SUMIF($B$87:$B$639,"①アCその他",$Y$87:$Y$639)+SUMIF($B$87:$B$639,"①イCその他",$Y$87:$Y$639)+SUMIF($B$87:$B$639,"①カCその他",$Y$87:$Y$639)</f>
        <v>0</v>
      </c>
      <c r="H48" s="52">
        <f>COUNTIF($B$87:$B$639,"②アCその他")+COUNTIF($B$87:$B$639,"②イCその他")+COUNTIF($B$87:$B$639,"②カCその他")</f>
        <v>0</v>
      </c>
      <c r="I48" s="52">
        <f>SUMIF($B$87:$B$639,"②アCその他",$Y$87:$Y$639)+SUMIF($B$87:$B$639,"②イCその他",$Y$87:$Y$639)+SUMIF($B$87:$B$639,"②カCその他",$Y$87:$Y$639)</f>
        <v>0</v>
      </c>
      <c r="J48" s="52">
        <f>COUNTIF($B$87:$B$639,"③アCその他")+COUNTIF($B$87:$B$639,"③イCその他")+COUNTIF($B$87:$B$639,"③カCその他")</f>
        <v>0</v>
      </c>
      <c r="K48" s="52">
        <f>SUMIF($B$87:$B$639,"③アCその他",$Y$87:$Y$639)+SUMIF($B$87:$B$639,"③イCその他",$Y$87:$Y$639)+SUMIF($B$87:$B$639,"③カCその他",$Y$87:$Y$639)</f>
        <v>0</v>
      </c>
      <c r="L48" s="52">
        <f>COUNTIF($B$87:$B$639,"④アCその他")+COUNTIF($B$87:$B$639,"④イCその他")+COUNTIF($B$87:$B$639,"④カCその他")</f>
        <v>0</v>
      </c>
      <c r="M48" s="52">
        <f>SUMIF($B$87:$B$639,"④アCその他",$Y$87:$Y$639)+SUMIF($B$87:$B$639,"④イCその他",$Y$87:$Y$639)+SUMIF($B$87:$B$639,"④カCその他",$Y$87:$Y$639)</f>
        <v>0</v>
      </c>
      <c r="N48" s="52">
        <f>COUNTIF($B$87:$B$639,"⑤アCその他")+COUNTIF($B$87:$B$639,"⑤イCその他")+COUNTIF($B$87:$B$639,"⑤カCその他")</f>
        <v>0</v>
      </c>
      <c r="O48" s="52">
        <f>SUMIF($B$87:$B$639,"⑤アCその他",$Y$87:$Y$639)+SUMIF($B$87:$B$639,"⑤イCその他",$Y$87:$Y$639)+SUMIF($B$87:$B$639,"⑤カCその他",$Y$87:$Y$639)</f>
        <v>0</v>
      </c>
      <c r="P48" s="52">
        <f>COUNTIF($B$87:$B$639,"⑥アCその他")+COUNTIF($B$87:$B$639,"⑥イCその他")+COUNTIF($B$87:$B$639,"⑥カCその他")</f>
        <v>0</v>
      </c>
      <c r="Q48" s="52">
        <f>SUMIF($B$87:$B$639,"⑥アCその他",$Y$87:$Y$639)+SUMIF($B$87:$B$639,"⑥イCその他",$Y$87:$Y$639)+SUMIF($B$87:$B$639,"⑥カCその他",$Y$87:$Y$639)</f>
        <v>0</v>
      </c>
      <c r="R48" s="52">
        <f t="shared" si="16"/>
        <v>0</v>
      </c>
      <c r="S48" s="84">
        <f t="shared" si="16"/>
        <v>0</v>
      </c>
      <c r="T48" s="85">
        <f t="shared" si="17"/>
        <v>0</v>
      </c>
      <c r="U48" s="52">
        <f t="shared" si="17"/>
        <v>0</v>
      </c>
      <c r="V48" s="52">
        <f t="shared" si="18"/>
        <v>0</v>
      </c>
      <c r="W48" s="54">
        <f t="shared" si="18"/>
        <v>0</v>
      </c>
    </row>
    <row r="49" spans="1:23" ht="15" thickTop="1" thickBot="1">
      <c r="B49" s="55"/>
      <c r="F49"/>
    </row>
    <row r="50" spans="1:23" ht="15" thickTop="1">
      <c r="B50" s="86"/>
      <c r="C50" s="87"/>
      <c r="D50" s="87"/>
      <c r="E50" s="88"/>
      <c r="F50" s="89" t="s">
        <v>1</v>
      </c>
      <c r="G50" s="58"/>
      <c r="H50" s="58" t="s">
        <v>2</v>
      </c>
      <c r="I50" s="58"/>
      <c r="J50" s="58" t="s">
        <v>3</v>
      </c>
      <c r="K50" s="58"/>
      <c r="L50" s="58" t="s">
        <v>4</v>
      </c>
      <c r="M50" s="58"/>
      <c r="N50" s="58" t="s">
        <v>5</v>
      </c>
      <c r="O50" s="58"/>
      <c r="P50" s="58" t="s">
        <v>6</v>
      </c>
      <c r="Q50" s="58"/>
      <c r="R50" s="58" t="s">
        <v>7</v>
      </c>
      <c r="S50" s="59"/>
    </row>
    <row r="51" spans="1:23" ht="14.25">
      <c r="B51" s="90"/>
      <c r="C51" s="73"/>
      <c r="D51" s="73"/>
      <c r="E51" s="74"/>
      <c r="F51" s="91" t="s">
        <v>8</v>
      </c>
      <c r="G51" s="91" t="s">
        <v>9</v>
      </c>
      <c r="H51" s="91" t="s">
        <v>8</v>
      </c>
      <c r="I51" s="91" t="s">
        <v>9</v>
      </c>
      <c r="J51" s="91" t="s">
        <v>8</v>
      </c>
      <c r="K51" s="91" t="s">
        <v>9</v>
      </c>
      <c r="L51" s="91" t="s">
        <v>8</v>
      </c>
      <c r="M51" s="91" t="s">
        <v>9</v>
      </c>
      <c r="N51" s="91" t="s">
        <v>8</v>
      </c>
      <c r="O51" s="91" t="s">
        <v>9</v>
      </c>
      <c r="P51" s="91" t="s">
        <v>8</v>
      </c>
      <c r="Q51" s="91" t="s">
        <v>9</v>
      </c>
      <c r="R51" s="91" t="s">
        <v>8</v>
      </c>
      <c r="S51" s="92" t="s">
        <v>9</v>
      </c>
    </row>
    <row r="52" spans="1:23" ht="21" customHeight="1">
      <c r="B52" s="826" t="s">
        <v>12</v>
      </c>
      <c r="C52" s="807"/>
      <c r="D52" s="807"/>
      <c r="E52" s="808"/>
      <c r="F52" s="93">
        <f t="shared" ref="F52:S52" si="19">SUM(F53:F60)</f>
        <v>2</v>
      </c>
      <c r="G52" s="93">
        <f t="shared" si="19"/>
        <v>38073333</v>
      </c>
      <c r="H52" s="93">
        <f t="shared" si="19"/>
        <v>2</v>
      </c>
      <c r="I52" s="93">
        <f t="shared" si="19"/>
        <v>20853000</v>
      </c>
      <c r="J52" s="93">
        <f t="shared" si="19"/>
        <v>1</v>
      </c>
      <c r="K52" s="93">
        <f t="shared" si="19"/>
        <v>7999005</v>
      </c>
      <c r="L52" s="93">
        <f t="shared" si="19"/>
        <v>4</v>
      </c>
      <c r="M52" s="93">
        <f t="shared" si="19"/>
        <v>110502894</v>
      </c>
      <c r="N52" s="93">
        <f t="shared" si="19"/>
        <v>2</v>
      </c>
      <c r="O52" s="93">
        <f t="shared" si="19"/>
        <v>4670026</v>
      </c>
      <c r="P52" s="93">
        <f t="shared" si="19"/>
        <v>52</v>
      </c>
      <c r="Q52" s="93">
        <f t="shared" si="19"/>
        <v>230259842</v>
      </c>
      <c r="R52" s="93">
        <f t="shared" si="19"/>
        <v>63</v>
      </c>
      <c r="S52" s="94">
        <f t="shared" si="19"/>
        <v>412358100</v>
      </c>
    </row>
    <row r="53" spans="1:23" ht="17.25">
      <c r="B53" s="818" t="s">
        <v>35</v>
      </c>
      <c r="C53" s="819"/>
      <c r="D53" s="819"/>
      <c r="E53" s="820"/>
      <c r="F53" s="95">
        <f>COUNTIF($B$87:$B$639,"①*Aｲ(ｲ)")</f>
        <v>0</v>
      </c>
      <c r="G53" s="95">
        <f>SUMIF($B$87:$B$639,"①*Aｲ(ｲ)",$Y$87:$Y$639)</f>
        <v>0</v>
      </c>
      <c r="H53" s="95">
        <f>COUNTIF($B$87:$B$639,"②*Aｲ(ｲ)")</f>
        <v>0</v>
      </c>
      <c r="I53" s="95">
        <f>SUMIF($B$87:$B$639,"②*Aｲ(ｲ)",$Y$87:$Y$639)</f>
        <v>0</v>
      </c>
      <c r="J53" s="96">
        <f>COUNTIF($B$87:$B$639,"③*Aｲ(ｲ)")</f>
        <v>0</v>
      </c>
      <c r="K53" s="96">
        <f>SUMIF($B$87:$B$639,"③*Aｲ(ｲ)",$Y$87:$Y$639)</f>
        <v>0</v>
      </c>
      <c r="L53" s="95">
        <f>COUNTIF($B$87:$B$639,"④*Aｲ(ｲ)")</f>
        <v>0</v>
      </c>
      <c r="M53" s="95">
        <f>SUMIF($B$87:$B$639,"④*Aｲ(ｲ)",$Y$87:$Y$639)</f>
        <v>0</v>
      </c>
      <c r="N53" s="95">
        <f>COUNTIF($B$87:$B$639,"⑤*Aｲ(ｲ)")</f>
        <v>0</v>
      </c>
      <c r="O53" s="95">
        <f>SUMIF($B$87:$B$639,"⑤*Aｲ(ｲ)",$Y$87:$Y$639)</f>
        <v>0</v>
      </c>
      <c r="P53" s="95">
        <f>COUNTIF($B$87:$B$639,"⑥*Aｲ(ｲ)")</f>
        <v>0</v>
      </c>
      <c r="Q53" s="95">
        <f>SUMIF($B$87:$B$639,"⑥*Aｲ(ｲ)",$Y$87:$Y$639)</f>
        <v>0</v>
      </c>
      <c r="R53" s="95">
        <f t="shared" ref="R53:S60" si="20">SUM(F53,H53,J53,L53,N53,P53)</f>
        <v>0</v>
      </c>
      <c r="S53" s="97">
        <f t="shared" si="20"/>
        <v>0</v>
      </c>
      <c r="U53" s="98"/>
      <c r="V53" s="98"/>
      <c r="W53" s="99"/>
    </row>
    <row r="54" spans="1:23" ht="17.25">
      <c r="B54" s="809" t="s">
        <v>36</v>
      </c>
      <c r="C54" s="810"/>
      <c r="D54" s="810"/>
      <c r="E54" s="811"/>
      <c r="F54" s="95">
        <f>COUNTIF($B$87:$B$639,"①*Aｲ(ﾛ)")</f>
        <v>2</v>
      </c>
      <c r="G54" s="95">
        <f>SUMIF($B$87:$B$639,"①*Aｲ(ﾛ)",$Y$87:$Y$639)</f>
        <v>38073333</v>
      </c>
      <c r="H54" s="95">
        <f>COUNTIF($B$87:$B$639,"②*Aｲ(ﾛ)")</f>
        <v>0</v>
      </c>
      <c r="I54" s="95">
        <f>SUMIF($B$87:$B$639,"②*Aｲ(ﾛ)",$Y$87:$Y$639)</f>
        <v>0</v>
      </c>
      <c r="J54" s="96">
        <f>COUNTIF($B$87:$B$639,"③*Aｲ(ﾛ)")</f>
        <v>0</v>
      </c>
      <c r="K54" s="96">
        <f>SUMIF($B$87:$B$639,"③*Aｲ(ﾛ)",$Y$87:$Y$639)</f>
        <v>0</v>
      </c>
      <c r="L54" s="95">
        <f>COUNTIF($B$87:$B$639,"④*Aｲ(ﾛ)")</f>
        <v>0</v>
      </c>
      <c r="M54" s="95">
        <f>SUMIF($B$87:$B$639,"④*Aｲ(ﾛ)",$Y$87:$Y$639)</f>
        <v>0</v>
      </c>
      <c r="N54" s="95">
        <f>COUNTIF($B$87:$B$639,"⑤*Aｲ(ﾛ)")</f>
        <v>0</v>
      </c>
      <c r="O54" s="95">
        <f>SUMIF($B$87:$B$639,"⑤*Aｲ(ﾛ)",$Y$87:$Y$639)</f>
        <v>0</v>
      </c>
      <c r="P54" s="95">
        <f>COUNTIF($B$87:$B$639,"⑥*Aｲ(ﾛ)")</f>
        <v>0</v>
      </c>
      <c r="Q54" s="95">
        <f>SUMIF($B$87:$B$639,"⑥*Aｲ(ﾛ)",$Y$87:$Y$639)</f>
        <v>0</v>
      </c>
      <c r="R54" s="95">
        <f t="shared" si="20"/>
        <v>2</v>
      </c>
      <c r="S54" s="97">
        <f t="shared" si="20"/>
        <v>38073333</v>
      </c>
    </row>
    <row r="55" spans="1:23" ht="17.25">
      <c r="B55" s="809" t="s">
        <v>37</v>
      </c>
      <c r="C55" s="810"/>
      <c r="D55" s="810"/>
      <c r="E55" s="811"/>
      <c r="F55" s="95">
        <f>COUNTIF($B$87:$B$639,"①*Aﾛ")</f>
        <v>0</v>
      </c>
      <c r="G55" s="95">
        <f>SUMIF($B$87:$B$639,"①*Aﾛ",$Y$87:$Y$639)</f>
        <v>0</v>
      </c>
      <c r="H55" s="95">
        <f>COUNTIF($B$87:$B$639,"②*Aﾛ")</f>
        <v>0</v>
      </c>
      <c r="I55" s="95">
        <f>SUMIF($B$87:$B$639,"②*Aﾛ",$Y$87:$Y$639)</f>
        <v>0</v>
      </c>
      <c r="J55" s="96">
        <f>COUNTIF($B$87:$B$639,"③*Aﾛ")</f>
        <v>0</v>
      </c>
      <c r="K55" s="96">
        <f>SUMIF($B$87:$B$639,"③*Aﾛ",$Y$87:$Y$639)</f>
        <v>0</v>
      </c>
      <c r="L55" s="95">
        <f>COUNTIF($B$87:$B$639,"④*Aﾛ")</f>
        <v>3</v>
      </c>
      <c r="M55" s="95">
        <f>SUMIF($B$87:$B$639,"④*Aﾛ",$Y$87:$Y$639)</f>
        <v>59137704</v>
      </c>
      <c r="N55" s="95">
        <f>COUNTIF($B$87:$B$639,"⑤*Aﾛ")</f>
        <v>0</v>
      </c>
      <c r="O55" s="95">
        <f>SUMIF($B$87:$B$639,"⑤*Aﾛ",$Y$87:$Y$639)</f>
        <v>0</v>
      </c>
      <c r="P55" s="95">
        <f>COUNTIF($B$87:$B$639,"⑥*Aﾛ")</f>
        <v>21</v>
      </c>
      <c r="Q55" s="95">
        <f>SUMIF($B$87:$B$639,"⑥*Aﾛ",$Y$87:$Y$639)</f>
        <v>97939144</v>
      </c>
      <c r="R55" s="95">
        <f t="shared" si="20"/>
        <v>24</v>
      </c>
      <c r="S55" s="97">
        <f t="shared" si="20"/>
        <v>157076848</v>
      </c>
    </row>
    <row r="56" spans="1:23" ht="17.25">
      <c r="B56" s="809" t="s">
        <v>38</v>
      </c>
      <c r="C56" s="810"/>
      <c r="D56" s="810"/>
      <c r="E56" s="811"/>
      <c r="F56" s="95">
        <f>COUNTIF($B$87:$B$639,"①*Aﾊ")</f>
        <v>0</v>
      </c>
      <c r="G56" s="95">
        <f>SUMIF($B$87:$B$639,"①*Aﾊ",$Y$87:$Y$639)</f>
        <v>0</v>
      </c>
      <c r="H56" s="95">
        <f>COUNTIF($B$87:$B$639,"②*Aﾊ")</f>
        <v>0</v>
      </c>
      <c r="I56" s="95">
        <f>SUMIF($B$87:$B$639,"②*Aﾊ",$Y$87:$Y$639)</f>
        <v>0</v>
      </c>
      <c r="J56" s="96">
        <f>COUNTIF($B$87:$B$639,"③*Aﾊ")</f>
        <v>1</v>
      </c>
      <c r="K56" s="96">
        <f>SUMIF($B$87:$B$639,"③*Aﾊ",$Y$87:$Y$639)</f>
        <v>7999005</v>
      </c>
      <c r="L56" s="95">
        <f>COUNTIF($B$87:$B$639,"④*Aﾊ")</f>
        <v>0</v>
      </c>
      <c r="M56" s="95">
        <f>SUMIF($B$87:$B$639,"④*Aﾊ",$Y$87:$Y$639)</f>
        <v>0</v>
      </c>
      <c r="N56" s="95">
        <f>COUNTIF($B$87:$B$639,"⑤*Aﾊ")</f>
        <v>0</v>
      </c>
      <c r="O56" s="95">
        <f>SUMIF($B$87:$B$639,"⑤*Aﾊ",$Y$87:$Y$639)</f>
        <v>0</v>
      </c>
      <c r="P56" s="95">
        <f>COUNTIF($B$87:$B$639,"⑥*Aﾊ")</f>
        <v>0</v>
      </c>
      <c r="Q56" s="95">
        <f>SUMIF($B$87:$B$639,"⑥*Aﾊ",$Y$87:$Y$639)</f>
        <v>0</v>
      </c>
      <c r="R56" s="95">
        <f t="shared" si="20"/>
        <v>1</v>
      </c>
      <c r="S56" s="97">
        <f t="shared" si="20"/>
        <v>7999005</v>
      </c>
    </row>
    <row r="57" spans="1:23" ht="17.25">
      <c r="B57" s="809" t="s">
        <v>39</v>
      </c>
      <c r="C57" s="810"/>
      <c r="D57" s="810"/>
      <c r="E57" s="811"/>
      <c r="F57" s="95">
        <f>COUNTIF($B$87:$B$639,"①*Aﾆ(ﾛ)")</f>
        <v>0</v>
      </c>
      <c r="G57" s="95">
        <f>SUMIF($B$87:$B$639,"①*Aﾆ(ﾛ)",$Y$87:$Y$639)</f>
        <v>0</v>
      </c>
      <c r="H57" s="95">
        <f>COUNTIF($B$87:$B$639,"②*Aﾆ(ﾛ)")</f>
        <v>0</v>
      </c>
      <c r="I57" s="95">
        <f>SUMIF($B$87:$B$639,"②*Aﾆ(ﾛ)",$Y$87:$Y$639)</f>
        <v>0</v>
      </c>
      <c r="J57" s="96">
        <f>COUNTIF($B$87:$B$639,"③*Aﾆ(ﾛ)")</f>
        <v>0</v>
      </c>
      <c r="K57" s="96">
        <f>SUMIF($B$87:$B$639,"③*Aﾆ(ﾛ)",$Y$87:$Y$639)</f>
        <v>0</v>
      </c>
      <c r="L57" s="95">
        <f>COUNTIF($B$87:$B$639,"④*Aﾆ(ﾛ)")</f>
        <v>0</v>
      </c>
      <c r="M57" s="95">
        <f>SUMIF($B$87:$B$639,"④*Aﾆ(ﾛ)",$Y$87:$Y$639)</f>
        <v>0</v>
      </c>
      <c r="N57" s="95">
        <f>COUNTIF($B$87:$B$639,"⑤*Aﾆ(ﾛ)")</f>
        <v>0</v>
      </c>
      <c r="O57" s="95">
        <f>SUMIF($B$87:$B$639,"⑤*Aﾆ(ﾛ)",$Y$87:$Y$639)</f>
        <v>0</v>
      </c>
      <c r="P57" s="95">
        <f>COUNTIF($B$87:$B$639,"⑥*Aﾆ(ﾛ)")</f>
        <v>0</v>
      </c>
      <c r="Q57" s="95">
        <f>SUMIF($B$87:$B$639,"⑥*Aﾆ(ﾛ)",$Y$87:$Y$639)</f>
        <v>0</v>
      </c>
      <c r="R57" s="95">
        <f t="shared" si="20"/>
        <v>0</v>
      </c>
      <c r="S57" s="97">
        <f t="shared" si="20"/>
        <v>0</v>
      </c>
    </row>
    <row r="58" spans="1:23" ht="17.25">
      <c r="B58" s="809" t="s">
        <v>40</v>
      </c>
      <c r="C58" s="810"/>
      <c r="D58" s="810"/>
      <c r="E58" s="811"/>
      <c r="F58" s="95">
        <f>COUNTIF($B$87:$B$639,"①*Aﾆ(ﾊ)")</f>
        <v>0</v>
      </c>
      <c r="G58" s="95">
        <f>SUMIF($B$87:$B$639,"①*Aﾆ(ﾊ)",$Y$87:$Y$639)</f>
        <v>0</v>
      </c>
      <c r="H58" s="95">
        <f>COUNTIF($B$87:$B$639,"②*Aﾆ(ﾊ)")</f>
        <v>0</v>
      </c>
      <c r="I58" s="95">
        <f>SUMIF($B$87:$B$639,"②*Aﾆ(ﾊ)",$Y$87:$Y$639)</f>
        <v>0</v>
      </c>
      <c r="J58" s="96">
        <f>COUNTIF($B$87:$B$639,"③*Aﾆ(ﾊ)")</f>
        <v>0</v>
      </c>
      <c r="K58" s="96">
        <f>SUMIF($B$87:$B$639,"③*Aﾆ(ﾊ)",$Y$87:$Y$639)</f>
        <v>0</v>
      </c>
      <c r="L58" s="95">
        <f>COUNTIF($B$87:$B$639,"④*Aﾆ(ﾊ)")</f>
        <v>0</v>
      </c>
      <c r="M58" s="95">
        <f>SUMIF($B$87:$B$639,"④*Aﾆ(ﾊ)",$Y$87:$Y$639)</f>
        <v>0</v>
      </c>
      <c r="N58" s="95">
        <f>COUNTIF($B$87:$B$639,"⑤*Aﾆ(ﾊ)")</f>
        <v>0</v>
      </c>
      <c r="O58" s="95">
        <f>SUMIF($B$87:$B$639,"⑤*Aﾆ(ﾊ)",$Y$87:$Y$639)</f>
        <v>0</v>
      </c>
      <c r="P58" s="95">
        <f>COUNTIF($B$87:$B$639,"⑥*Aﾆ(ﾊ)")</f>
        <v>0</v>
      </c>
      <c r="Q58" s="95">
        <f>SUMIF($B$87:$B$639,"⑥*Aﾆ(ﾊ)",$Y$87:$Y$639)</f>
        <v>0</v>
      </c>
      <c r="R58" s="95">
        <f t="shared" si="20"/>
        <v>0</v>
      </c>
      <c r="S58" s="97">
        <f t="shared" si="20"/>
        <v>0</v>
      </c>
    </row>
    <row r="59" spans="1:23" ht="17.25">
      <c r="B59" s="809" t="s">
        <v>41</v>
      </c>
      <c r="C59" s="810"/>
      <c r="D59" s="810"/>
      <c r="E59" s="811"/>
      <c r="F59" s="95">
        <f>COUNTIF($B$87:$B$639,"①*Aﾆ(ﾆ)")</f>
        <v>0</v>
      </c>
      <c r="G59" s="95">
        <f>SUMIF($B$87:$B$639,"①*Aﾆ(ﾆ)",$Y$87:$Y$639)</f>
        <v>0</v>
      </c>
      <c r="H59" s="95">
        <f>COUNTIF($B$87:$B$639,"②*Aﾆ(ﾆ)")</f>
        <v>1</v>
      </c>
      <c r="I59" s="95">
        <f>SUMIF($B$87:$B$639,"②*Aﾆ(ﾆ)",$Y$87:$Y$639)</f>
        <v>16569000</v>
      </c>
      <c r="J59" s="96">
        <f>COUNTIF($B$87:$B$639,"③*Aﾆ(ﾆ)")</f>
        <v>0</v>
      </c>
      <c r="K59" s="96">
        <f>SUMIF($B$87:$B$639,"③*Aﾆ(ﾆ)",$Y$87:$Y$639)</f>
        <v>0</v>
      </c>
      <c r="L59" s="95">
        <f>COUNTIF($B$87:$B$639,"④*Aﾆ(ﾆ)")</f>
        <v>0</v>
      </c>
      <c r="M59" s="95">
        <f>SUMIF($B$87:$B$639,"④*Aﾆ(ﾆ)",$Y$87:$Y$639)</f>
        <v>0</v>
      </c>
      <c r="N59" s="95">
        <f>COUNTIF($B$87:$B$639,"⑤*Aﾆ(ﾆ)")</f>
        <v>0</v>
      </c>
      <c r="O59" s="95">
        <f>SUMIF($B$87:$B$639,"⑤*Aﾆ(ﾆ)",$Y$87:$Y$639)</f>
        <v>0</v>
      </c>
      <c r="P59" s="95">
        <f>COUNTIF($B$87:$B$639,"⑥*Aﾆ(ﾆ)")</f>
        <v>1</v>
      </c>
      <c r="Q59" s="95">
        <f>SUMIF($B$87:$B$639,"⑥*Aﾆ(ﾆ)",$Y$87:$Y$639)</f>
        <v>2515200</v>
      </c>
      <c r="R59" s="95">
        <f t="shared" si="20"/>
        <v>2</v>
      </c>
      <c r="S59" s="97">
        <f t="shared" si="20"/>
        <v>19084200</v>
      </c>
    </row>
    <row r="60" spans="1:23" ht="18" thickBot="1">
      <c r="B60" s="812" t="s">
        <v>42</v>
      </c>
      <c r="C60" s="813"/>
      <c r="D60" s="813"/>
      <c r="E60" s="814"/>
      <c r="F60" s="100">
        <f>COUNTIF($B$87:$B$639,"①*Aﾆ(ﾍ)")</f>
        <v>0</v>
      </c>
      <c r="G60" s="100">
        <f>SUMIF($B$87:$B$639,"①*Aﾆ(ﾍ)",$Y$87:$Y$639)</f>
        <v>0</v>
      </c>
      <c r="H60" s="100">
        <f>COUNTIF($B$87:$B$639,"②*Aﾆ(ﾍ)")</f>
        <v>1</v>
      </c>
      <c r="I60" s="100">
        <f>SUMIF($B$87:$B$639,"②*Aﾆ(ﾍ)",$Y$87:$Y$639)</f>
        <v>4284000</v>
      </c>
      <c r="J60" s="100">
        <f>COUNTIF($B$87:$B$639,"③*Aﾆ(ﾍ)")</f>
        <v>0</v>
      </c>
      <c r="K60" s="100">
        <f>SUMIF($B$87:$B$639,"③*Aﾆ(ﾍ)",$Y$87:$Y$639)</f>
        <v>0</v>
      </c>
      <c r="L60" s="100">
        <f>COUNTIF($B$87:$B$639,"④*Aﾆ(ﾍ)")</f>
        <v>1</v>
      </c>
      <c r="M60" s="100">
        <f>SUMIF($B$87:$B$639,"④*Aﾆ(ﾍ)",$Y$87:$Y$639)</f>
        <v>51365190</v>
      </c>
      <c r="N60" s="100">
        <f>COUNTIF($B$87:$B$639,"⑤*Aﾆ(ﾍ)")</f>
        <v>2</v>
      </c>
      <c r="O60" s="100">
        <f>SUMIF($B$87:$B$639,"⑤*Aﾆ(ﾍ)",$Y$87:$Y$639)</f>
        <v>4670026</v>
      </c>
      <c r="P60" s="100">
        <f>COUNTIF($B$87:$B$639,"⑥*Aﾆ(ﾍ)")</f>
        <v>30</v>
      </c>
      <c r="Q60" s="100">
        <f>SUMIF($B$87:$B$639,"⑥*Aﾆ(ﾍ)",$Y$87:$Y$639)</f>
        <v>129805498</v>
      </c>
      <c r="R60" s="100">
        <f t="shared" si="20"/>
        <v>34</v>
      </c>
      <c r="S60" s="101">
        <f t="shared" si="20"/>
        <v>190124714</v>
      </c>
    </row>
    <row r="61" spans="1:23" ht="24.75" customHeight="1" thickTop="1">
      <c r="B61" s="815" t="s">
        <v>43</v>
      </c>
      <c r="C61" s="816"/>
      <c r="D61" s="816"/>
      <c r="E61" s="817"/>
      <c r="F61" s="102">
        <f t="shared" ref="F61:S61" si="21">SUM(F62:F71)</f>
        <v>2</v>
      </c>
      <c r="G61" s="102">
        <f t="shared" si="21"/>
        <v>1874236616</v>
      </c>
      <c r="H61" s="102">
        <f t="shared" si="21"/>
        <v>1</v>
      </c>
      <c r="I61" s="102">
        <f t="shared" si="21"/>
        <v>33717600</v>
      </c>
      <c r="J61" s="102">
        <f t="shared" si="21"/>
        <v>2</v>
      </c>
      <c r="K61" s="102">
        <f t="shared" si="21"/>
        <v>6444422118</v>
      </c>
      <c r="L61" s="102">
        <f t="shared" si="21"/>
        <v>3</v>
      </c>
      <c r="M61" s="102">
        <f t="shared" si="21"/>
        <v>38202074</v>
      </c>
      <c r="N61" s="102">
        <f t="shared" si="21"/>
        <v>28</v>
      </c>
      <c r="O61" s="102">
        <f t="shared" si="21"/>
        <v>1485524116</v>
      </c>
      <c r="P61" s="102">
        <f t="shared" si="21"/>
        <v>308</v>
      </c>
      <c r="Q61" s="102">
        <f t="shared" si="21"/>
        <v>12995228265</v>
      </c>
      <c r="R61" s="102">
        <f t="shared" si="21"/>
        <v>344</v>
      </c>
      <c r="S61" s="103">
        <f t="shared" si="21"/>
        <v>22871330789</v>
      </c>
    </row>
    <row r="62" spans="1:23" ht="17.25">
      <c r="A62" t="s">
        <v>44</v>
      </c>
      <c r="B62" s="806" t="s">
        <v>45</v>
      </c>
      <c r="C62" s="807"/>
      <c r="D62" s="807"/>
      <c r="E62" s="808"/>
      <c r="F62" s="95">
        <f>COUNTIF($B$87:$B$639,"①*D済")</f>
        <v>2</v>
      </c>
      <c r="G62" s="95">
        <f>SUMIF($B$87:$B$639,"①*D済",$Y$87:$Y$639)</f>
        <v>1874236616</v>
      </c>
      <c r="H62" s="95">
        <f>COUNTIF($B$87:$B$639,"②*D済")</f>
        <v>0</v>
      </c>
      <c r="I62" s="95">
        <f>SUMIF($B$87:$B$639,"②*D済",$Y$87:$Y$639)</f>
        <v>0</v>
      </c>
      <c r="J62" s="95">
        <f>COUNTIF($B$87:$B$639,"③*D済")</f>
        <v>0</v>
      </c>
      <c r="K62" s="95">
        <f>SUMIF($B$87:$B$639,"③*D済",$Y$87:$Y$639)</f>
        <v>0</v>
      </c>
      <c r="L62" s="95">
        <f>COUNTIF($B$87:$B$639,"④*D済")</f>
        <v>0</v>
      </c>
      <c r="M62" s="95">
        <f>SUMIF($B$87:$B$639,"④*D済",$Y$87:$Y$639)</f>
        <v>0</v>
      </c>
      <c r="N62" s="95">
        <f>COUNTIF($B$87:$B$639,"⑤*D済")</f>
        <v>1</v>
      </c>
      <c r="O62" s="95">
        <f>SUMIF($B$87:$B$639,"⑤*D済",$Y$87:$Y$639)</f>
        <v>2015293</v>
      </c>
      <c r="P62" s="95">
        <f>COUNTIF($B$87:$B$639,"⑥*D済")</f>
        <v>10</v>
      </c>
      <c r="Q62" s="95">
        <f>SUMIF($B$87:$B$639,"⑥*D済",$Y$87:$Y$639)</f>
        <v>1375973375</v>
      </c>
      <c r="R62" s="95">
        <f t="shared" ref="R62:S71" si="22">SUM(F62,H62,J62,L62,N62,P62)</f>
        <v>13</v>
      </c>
      <c r="S62" s="97">
        <f t="shared" si="22"/>
        <v>3252225284</v>
      </c>
    </row>
    <row r="63" spans="1:23" ht="17.25">
      <c r="A63" t="s">
        <v>46</v>
      </c>
      <c r="B63" s="806" t="s">
        <v>47</v>
      </c>
      <c r="C63" s="807"/>
      <c r="D63" s="807"/>
      <c r="E63" s="808"/>
      <c r="F63" s="95">
        <f>COUNTIF($B$87:$B$639,"①*D一定")</f>
        <v>0</v>
      </c>
      <c r="G63" s="95">
        <f>SUMIF($B$87:$B$639,"①*D一定",$Y$87:$Y$639)</f>
        <v>0</v>
      </c>
      <c r="H63" s="95">
        <f>COUNTIF($B$87:$B$639,"②*D一定")</f>
        <v>0</v>
      </c>
      <c r="I63" s="95">
        <f>SUMIF($B$87:$B$639,"②*D一定",$Y$87:$Y$639)</f>
        <v>0</v>
      </c>
      <c r="J63" s="95">
        <f>COUNTIF($B$87:$B$639,"③*D一定")</f>
        <v>0</v>
      </c>
      <c r="K63" s="95">
        <f>SUMIF($B$87:$B$639,"③*D一定",$Y$87:$Y$639)</f>
        <v>0</v>
      </c>
      <c r="L63" s="95">
        <f>COUNTIF($B$87:$B$639,"④*D一定")</f>
        <v>0</v>
      </c>
      <c r="M63" s="95">
        <f>SUMIF($B$87:$B$639,"④*D一定",$Y$87:$Y$639)</f>
        <v>0</v>
      </c>
      <c r="N63" s="95">
        <f>COUNTIF($B$87:$B$639,"⑤*D一定")</f>
        <v>0</v>
      </c>
      <c r="O63" s="95">
        <f>SUMIF($B$87:$B$639,"⑤*D一定",$Y$87:$Y$639)</f>
        <v>0</v>
      </c>
      <c r="P63" s="95">
        <f>COUNTIF($B$87:$B$639,"⑥*D一定")</f>
        <v>7</v>
      </c>
      <c r="Q63" s="95">
        <f>SUMIF($B$87:$B$639,"⑥*D一定",$Y$87:$Y$639)</f>
        <v>85085100</v>
      </c>
      <c r="R63" s="95">
        <f t="shared" si="22"/>
        <v>7</v>
      </c>
      <c r="S63" s="97">
        <f t="shared" si="22"/>
        <v>85085100</v>
      </c>
    </row>
    <row r="64" spans="1:23" ht="17.25">
      <c r="A64" t="s">
        <v>48</v>
      </c>
      <c r="B64" s="806" t="s">
        <v>49</v>
      </c>
      <c r="C64" s="807"/>
      <c r="D64" s="807"/>
      <c r="E64" s="808"/>
      <c r="F64" s="95">
        <f>COUNTIF($B$87:$B$639,"①*D複数")</f>
        <v>0</v>
      </c>
      <c r="G64" s="95">
        <f>SUMIF($B$87:$B$639,"①*D複数",$Y$87:$Y$639)</f>
        <v>0</v>
      </c>
      <c r="H64" s="95">
        <f>COUNTIF($B$87:$B$639,"②*D複数")</f>
        <v>0</v>
      </c>
      <c r="I64" s="95">
        <f>SUMIF($B$87:$B$639,"②*D複数",$Y$87:$Y$639)</f>
        <v>0</v>
      </c>
      <c r="J64" s="95">
        <f>COUNTIF($B$87:$B$639,"③*D複数")</f>
        <v>0</v>
      </c>
      <c r="K64" s="95">
        <f>SUMIF($B$87:$B$639,"③*D複数",$Y$87:$Y$639)</f>
        <v>0</v>
      </c>
      <c r="L64" s="95">
        <f>COUNTIF($B$87:$B$639,"④*D複数")</f>
        <v>0</v>
      </c>
      <c r="M64" s="95">
        <f>SUMIF($B$87:$B$639,"④*D複数",$Y$87:$Y$639)</f>
        <v>0</v>
      </c>
      <c r="N64" s="95">
        <f>COUNTIF($B$87:$B$639,"⑤*D複数")</f>
        <v>6</v>
      </c>
      <c r="O64" s="95">
        <f>SUMIF($B$87:$B$639,"⑤*D複数",$Y$87:$Y$639)</f>
        <v>477582874</v>
      </c>
      <c r="P64" s="95">
        <f>COUNTIF($B$87:$B$639,"⑥*D複数")</f>
        <v>30</v>
      </c>
      <c r="Q64" s="95">
        <f>SUMIF($B$87:$B$639,"⑥*D複数",$Y$87:$Y$639)</f>
        <v>1226600833</v>
      </c>
      <c r="R64" s="95">
        <f t="shared" si="22"/>
        <v>36</v>
      </c>
      <c r="S64" s="97">
        <f t="shared" si="22"/>
        <v>1704183707</v>
      </c>
    </row>
    <row r="65" spans="1:54" ht="17.25">
      <c r="A65" t="s">
        <v>50</v>
      </c>
      <c r="B65" s="806" t="s">
        <v>45</v>
      </c>
      <c r="C65" s="807"/>
      <c r="D65" s="807"/>
      <c r="E65" s="808"/>
      <c r="F65" s="95">
        <f>COUNTIF($B$87:$B$639,"①*D稼働")</f>
        <v>0</v>
      </c>
      <c r="G65" s="95">
        <f>SUMIF($B$87:$B$639,"①*D稼働",$Y$87:$Y$639)</f>
        <v>0</v>
      </c>
      <c r="H65" s="95">
        <f>COUNTIF($B$87:$B$639,"②*D稼働")</f>
        <v>0</v>
      </c>
      <c r="I65" s="95">
        <f>SUMIF($B$87:$B$639,"②*D稼働",$Y$87:$Y$639)</f>
        <v>0</v>
      </c>
      <c r="J65" s="95">
        <f>COUNTIF($B$87:$B$639,"③*D稼働")</f>
        <v>1</v>
      </c>
      <c r="K65" s="95">
        <f>SUMIF($B$87:$B$639,"③*D稼働",$Y$87:$Y$639)</f>
        <v>6288467118</v>
      </c>
      <c r="L65" s="95">
        <f>COUNTIF($B$87:$B$639,"④*D稼働")</f>
        <v>0</v>
      </c>
      <c r="M65" s="95">
        <f>SUMIF($B$87:$B$639,"④*D稼働",$Y$87:$Y$639)</f>
        <v>0</v>
      </c>
      <c r="N65" s="95">
        <f>COUNTIF($B$87:$B$639,"⑤*D稼働")</f>
        <v>14</v>
      </c>
      <c r="O65" s="95">
        <f>SUMIF($B$87:$B$639,"⑤*D稼働",$Y$87:$Y$639)</f>
        <v>463470859</v>
      </c>
      <c r="P65" s="95">
        <f>COUNTIF($B$87:$B$639,"⑥*D稼働")</f>
        <v>94</v>
      </c>
      <c r="Q65" s="95">
        <f>SUMIF($B$87:$B$639,"⑥*D稼働",$Y$87:$Y$639)</f>
        <v>2320866285</v>
      </c>
      <c r="R65" s="95">
        <f t="shared" si="22"/>
        <v>109</v>
      </c>
      <c r="S65" s="97">
        <f t="shared" si="22"/>
        <v>9072804262</v>
      </c>
    </row>
    <row r="66" spans="1:54" ht="17.25">
      <c r="A66" t="s">
        <v>51</v>
      </c>
      <c r="B66" s="806" t="s">
        <v>52</v>
      </c>
      <c r="C66" s="807"/>
      <c r="D66" s="807"/>
      <c r="E66" s="808"/>
      <c r="F66" s="95">
        <f>COUNTIF($B$87:$B$639,"①*D継続")</f>
        <v>0</v>
      </c>
      <c r="G66" s="95">
        <f>SUMIF($B$87:$B$639,"①*D継続",$Y$87:$Y$639)</f>
        <v>0</v>
      </c>
      <c r="H66" s="95">
        <f>COUNTIF($B$87:$B$639,"②*D継続")</f>
        <v>0</v>
      </c>
      <c r="I66" s="95">
        <f>SUMIF($B$87:$B$639,"②*D継続",$Y$87:$Y$639)</f>
        <v>0</v>
      </c>
      <c r="J66" s="95">
        <f>COUNTIF($B$87:$B$639,"③*D継続")</f>
        <v>0</v>
      </c>
      <c r="K66" s="95">
        <f>SUMIF($B$87:$B$639,"③*D継続",$Y$87:$Y$639)</f>
        <v>0</v>
      </c>
      <c r="L66" s="95">
        <f>COUNTIF($B$87:$B$639,"④*D継続")</f>
        <v>0</v>
      </c>
      <c r="M66" s="95">
        <f>SUMIF($B$87:$B$639,"④*D継続",$Y$87:$Y$639)</f>
        <v>0</v>
      </c>
      <c r="N66" s="95">
        <f>COUNTIF($B$87:$B$639,"⑤*D継続")</f>
        <v>3</v>
      </c>
      <c r="O66" s="95">
        <f>SUMIF($B$87:$B$639,"⑤*D継続",$Y$87:$Y$639)</f>
        <v>528088360</v>
      </c>
      <c r="P66" s="95">
        <f>COUNTIF($B$87:$B$639,"⑥*D継続")</f>
        <v>21</v>
      </c>
      <c r="Q66" s="95">
        <f>SUMIF($B$87:$B$639,"⑥*D継続",$Y$87:$Y$639)</f>
        <v>180542361</v>
      </c>
      <c r="R66" s="95">
        <f t="shared" si="22"/>
        <v>24</v>
      </c>
      <c r="S66" s="97">
        <f t="shared" si="22"/>
        <v>708630721</v>
      </c>
    </row>
    <row r="67" spans="1:54" ht="17.25">
      <c r="A67" t="s">
        <v>53</v>
      </c>
      <c r="B67" s="806" t="s">
        <v>54</v>
      </c>
      <c r="C67" s="807"/>
      <c r="D67" s="807"/>
      <c r="E67" s="808"/>
      <c r="F67" s="95">
        <f>COUNTIF($B$87:$B$639,"①*D通達")</f>
        <v>0</v>
      </c>
      <c r="G67" s="95">
        <f>SUMIF($B$87:$B$639,"①*D通達",$Y$87:$Y$639)</f>
        <v>0</v>
      </c>
      <c r="H67" s="95">
        <f>COUNTIF($B$87:$B$639,"②*D通達")</f>
        <v>1</v>
      </c>
      <c r="I67" s="95">
        <f>SUMIF($B$87:$B$639,"②*D通達",$Y$87:$Y$639)</f>
        <v>33717600</v>
      </c>
      <c r="J67" s="95">
        <f>COUNTIF($B$87:$B$639,"③*D通達")</f>
        <v>1</v>
      </c>
      <c r="K67" s="95">
        <f>SUMIF($B$87:$B$639,"③*D通達",$Y$87:$Y$639)</f>
        <v>155955000</v>
      </c>
      <c r="L67" s="95">
        <f>COUNTIF($B$87:$B$639,"④*D通達")</f>
        <v>2</v>
      </c>
      <c r="M67" s="95">
        <f>SUMIF($B$87:$B$639,"④*D通達",$Y$87:$Y$639)</f>
        <v>35449089</v>
      </c>
      <c r="N67" s="95">
        <f>COUNTIF($B$87:$B$639,"⑤*D通達")</f>
        <v>0</v>
      </c>
      <c r="O67" s="95">
        <f>SUMIF($B$87:$B$639,"⑤*D通達",$Y$87:$Y$639)</f>
        <v>0</v>
      </c>
      <c r="P67" s="95">
        <f>COUNTIF($B$87:$B$639,"⑥*D通達")</f>
        <v>15</v>
      </c>
      <c r="Q67" s="95">
        <f>SUMIF($B$87:$B$639,"⑥*D通達",$Y$87:$Y$639)</f>
        <v>1543415346</v>
      </c>
      <c r="R67" s="95">
        <f t="shared" si="22"/>
        <v>19</v>
      </c>
      <c r="S67" s="97">
        <f t="shared" si="22"/>
        <v>1768537035</v>
      </c>
    </row>
    <row r="68" spans="1:54" ht="17.25">
      <c r="A68" t="s">
        <v>55</v>
      </c>
      <c r="B68" s="806" t="s">
        <v>56</v>
      </c>
      <c r="C68" s="807"/>
      <c r="D68" s="807"/>
      <c r="E68" s="808"/>
      <c r="F68" s="95">
        <f>COUNTIF($B$87:$B$639,"①*D外交")</f>
        <v>0</v>
      </c>
      <c r="G68" s="95">
        <f>SUMIF($B$87:$B$639,"①*D外交",$Y$87:$Y$639)</f>
        <v>0</v>
      </c>
      <c r="H68" s="95">
        <f>COUNTIF($B$87:$B$639,"②*D外交")</f>
        <v>0</v>
      </c>
      <c r="I68" s="95">
        <f>SUMIF($B$87:$B$639,"②*D外交",$Y$87:$Y$639)</f>
        <v>0</v>
      </c>
      <c r="J68" s="95">
        <f>COUNTIF($B$87:$B$639,"③*D外交")</f>
        <v>0</v>
      </c>
      <c r="K68" s="95">
        <f>SUMIF($B$87:$B$639,"③*D外交",$Y$87:$Y$639)</f>
        <v>0</v>
      </c>
      <c r="L68" s="95">
        <f>COUNTIF($B$87:$B$639,"④*D外交")</f>
        <v>0</v>
      </c>
      <c r="M68" s="95">
        <f>SUMIF($B$87:$B$639,"④*D外交",$Y$87:$Y$639)</f>
        <v>0</v>
      </c>
      <c r="N68" s="95">
        <f>COUNTIF($B$87:$B$639,"⑤*D外交")</f>
        <v>0</v>
      </c>
      <c r="O68" s="95">
        <f>SUMIF($B$87:$B$639,"⑤*D外交",$Y$87:$Y$639)</f>
        <v>0</v>
      </c>
      <c r="P68" s="95">
        <f>COUNTIF($B$87:$B$639,"⑥*D外交")</f>
        <v>2</v>
      </c>
      <c r="Q68" s="95">
        <f>SUMIF($B$87:$B$639,"⑥*D外交",$Y$87:$Y$639)</f>
        <v>3143190</v>
      </c>
      <c r="R68" s="95">
        <f t="shared" si="22"/>
        <v>2</v>
      </c>
      <c r="S68" s="97">
        <f t="shared" si="22"/>
        <v>3143190</v>
      </c>
    </row>
    <row r="69" spans="1:54" ht="17.25">
      <c r="A69" t="s">
        <v>57</v>
      </c>
      <c r="B69" s="806" t="s">
        <v>58</v>
      </c>
      <c r="C69" s="807"/>
      <c r="D69" s="807"/>
      <c r="E69" s="808"/>
      <c r="F69" s="95">
        <f>COUNTIF($B$87:$B$639,"①*D緊急")</f>
        <v>0</v>
      </c>
      <c r="G69" s="95">
        <f>SUMIF($B$87:$B$639,"①*D緊急",$Y$87:$Y$639)</f>
        <v>0</v>
      </c>
      <c r="H69" s="95">
        <f>COUNTIF($B$87:$B$639,"②*D緊急")</f>
        <v>0</v>
      </c>
      <c r="I69" s="95">
        <f>SUMIF($B$87:$B$639,"②*D緊急",$Y$87:$Y$639)</f>
        <v>0</v>
      </c>
      <c r="J69" s="95">
        <f>COUNTIF($B$87:$B$639,"③*D緊急")</f>
        <v>0</v>
      </c>
      <c r="K69" s="95">
        <f>SUMIF($B$87:$B$639,"③*D緊急",$Y$87:$Y$639)</f>
        <v>0</v>
      </c>
      <c r="L69" s="95">
        <f>COUNTIF($B$87:$B$639,"④*D緊急")</f>
        <v>0</v>
      </c>
      <c r="M69" s="95">
        <f>SUMIF($B$87:$B$639,"④*D緊急",$Y$87:$Y$639)</f>
        <v>0</v>
      </c>
      <c r="N69" s="95">
        <f>COUNTIF($B$87:$B$639,"⑤*D緊急")</f>
        <v>0</v>
      </c>
      <c r="O69" s="95">
        <f>SUMIF($B$87:$B$639,"⑤*D緊急",$Y$87:$Y$639)</f>
        <v>0</v>
      </c>
      <c r="P69" s="95">
        <f>COUNTIF($B$87:$B$639,"⑥*D緊急")</f>
        <v>6</v>
      </c>
      <c r="Q69" s="95">
        <f>SUMIF($B$87:$B$639,"⑥*D緊急",$Y$87:$Y$639)</f>
        <v>26759804</v>
      </c>
      <c r="R69" s="95">
        <f t="shared" si="22"/>
        <v>6</v>
      </c>
      <c r="S69" s="97">
        <f t="shared" si="22"/>
        <v>26759804</v>
      </c>
    </row>
    <row r="70" spans="1:54" ht="17.25">
      <c r="A70" t="s">
        <v>59</v>
      </c>
      <c r="B70" s="806" t="s">
        <v>60</v>
      </c>
      <c r="C70" s="807"/>
      <c r="D70" s="807"/>
      <c r="E70" s="808"/>
      <c r="F70" s="95">
        <f>COUNTIF($B$87:$B$639,"①*Dその他")</f>
        <v>0</v>
      </c>
      <c r="G70" s="95">
        <f>SUMIF($B$87:$B$639,"①*Dその他",$Y$87:$Y$639)</f>
        <v>0</v>
      </c>
      <c r="H70" s="95">
        <f>COUNTIF($B$87:$B$639,"②*Dその他")</f>
        <v>0</v>
      </c>
      <c r="I70" s="95">
        <f>SUMIF($B$87:$B$639,"②*Dその他",$Y$87:$Y$639)</f>
        <v>0</v>
      </c>
      <c r="J70" s="95">
        <f>COUNTIF($B$87:$B$639,"③*Dその他")</f>
        <v>0</v>
      </c>
      <c r="K70" s="95">
        <f>SUMIF($B$87:$B$639,"③*Dその他",$Y$87:$Y$639)</f>
        <v>0</v>
      </c>
      <c r="L70" s="95">
        <f>COUNTIF($B$87:$B$639,"④*Dその他")</f>
        <v>1</v>
      </c>
      <c r="M70" s="95">
        <f>SUMIF($B$87:$B$639,"④*Dその他",$Y$87:$Y$639)</f>
        <v>2752985</v>
      </c>
      <c r="N70" s="95">
        <f>COUNTIF($B$87:$B$639,"⑤*Dその他")</f>
        <v>3</v>
      </c>
      <c r="O70" s="95">
        <f>SUMIF($B$87:$B$639,"⑤*Dその他",$Y$87:$Y$639)</f>
        <v>5725755</v>
      </c>
      <c r="P70" s="95">
        <f>COUNTIF($B$87:$B$639,"⑥*Dその他")</f>
        <v>81</v>
      </c>
      <c r="Q70" s="95">
        <f>SUMIF($B$87:$B$639,"⑥*Dその他",$Y$87:$Y$639)</f>
        <v>2270020640</v>
      </c>
      <c r="R70" s="95">
        <f t="shared" si="22"/>
        <v>85</v>
      </c>
      <c r="S70" s="97">
        <f t="shared" si="22"/>
        <v>2278499380</v>
      </c>
    </row>
    <row r="71" spans="1:54" ht="18" thickBot="1">
      <c r="A71" t="s">
        <v>61</v>
      </c>
      <c r="B71" s="802" t="s">
        <v>62</v>
      </c>
      <c r="C71" s="803"/>
      <c r="D71" s="803"/>
      <c r="E71" s="804"/>
      <c r="F71" s="100">
        <f t="shared" ref="F71:Q71" si="23">F29</f>
        <v>0</v>
      </c>
      <c r="G71" s="100">
        <f t="shared" si="23"/>
        <v>0</v>
      </c>
      <c r="H71" s="100">
        <f t="shared" si="23"/>
        <v>0</v>
      </c>
      <c r="I71" s="100">
        <f t="shared" si="23"/>
        <v>0</v>
      </c>
      <c r="J71" s="100">
        <f t="shared" si="23"/>
        <v>0</v>
      </c>
      <c r="K71" s="100">
        <f t="shared" si="23"/>
        <v>0</v>
      </c>
      <c r="L71" s="100">
        <f t="shared" si="23"/>
        <v>0</v>
      </c>
      <c r="M71" s="100">
        <f t="shared" si="23"/>
        <v>0</v>
      </c>
      <c r="N71" s="100">
        <f t="shared" si="23"/>
        <v>1</v>
      </c>
      <c r="O71" s="100">
        <f t="shared" si="23"/>
        <v>8640975</v>
      </c>
      <c r="P71" s="100">
        <f t="shared" si="23"/>
        <v>42</v>
      </c>
      <c r="Q71" s="100">
        <f t="shared" si="23"/>
        <v>3962821331</v>
      </c>
      <c r="R71" s="100">
        <f t="shared" si="22"/>
        <v>43</v>
      </c>
      <c r="S71" s="101">
        <f t="shared" si="22"/>
        <v>3971462306</v>
      </c>
    </row>
    <row r="72" spans="1:54" ht="14.25" thickTop="1"/>
    <row r="74" spans="1:54" ht="18" customHeight="1">
      <c r="E74" s="805"/>
      <c r="F74" s="805"/>
      <c r="G74" s="805"/>
    </row>
    <row r="75" spans="1:54" ht="18" customHeight="1">
      <c r="E75" s="104"/>
      <c r="F75" s="105"/>
      <c r="G75" s="106"/>
    </row>
    <row r="76" spans="1:54" ht="18" customHeight="1">
      <c r="B76" s="789" t="s">
        <v>63</v>
      </c>
      <c r="C76" s="107" t="s">
        <v>64</v>
      </c>
      <c r="D76" s="108" t="s">
        <v>65</v>
      </c>
      <c r="E76" s="104"/>
      <c r="F76" s="105"/>
      <c r="G76" s="106"/>
      <c r="H76" s="15">
        <v>1</v>
      </c>
      <c r="I76" s="15">
        <v>2</v>
      </c>
      <c r="J76" s="15">
        <v>3</v>
      </c>
      <c r="K76" s="15">
        <v>4</v>
      </c>
      <c r="L76" s="15">
        <v>5</v>
      </c>
      <c r="M76" s="15">
        <v>6</v>
      </c>
      <c r="N76" s="15">
        <v>7</v>
      </c>
      <c r="O76" s="15">
        <v>8</v>
      </c>
      <c r="P76" s="15">
        <v>9</v>
      </c>
      <c r="Q76" s="15">
        <v>10</v>
      </c>
      <c r="R76" s="15">
        <v>11</v>
      </c>
      <c r="S76" s="15">
        <v>12</v>
      </c>
      <c r="T76" s="15">
        <v>13</v>
      </c>
      <c r="U76" s="15">
        <v>14</v>
      </c>
      <c r="V76" s="15">
        <v>15</v>
      </c>
      <c r="W76" s="15">
        <v>16</v>
      </c>
      <c r="X76" s="15">
        <v>17</v>
      </c>
      <c r="Y76" s="15">
        <v>18</v>
      </c>
      <c r="Z76" s="15">
        <v>19</v>
      </c>
      <c r="AA76" s="15">
        <v>20</v>
      </c>
      <c r="AB76" s="15">
        <v>21</v>
      </c>
      <c r="AC76" s="15">
        <v>22</v>
      </c>
      <c r="AD76" s="15">
        <v>23</v>
      </c>
      <c r="AE76" s="15">
        <v>24</v>
      </c>
      <c r="AF76" s="15">
        <v>25</v>
      </c>
    </row>
    <row r="77" spans="1:54" ht="12" customHeight="1">
      <c r="B77" s="790"/>
      <c r="C77" s="109" t="s">
        <v>66</v>
      </c>
      <c r="D77" s="783" t="s">
        <v>67</v>
      </c>
      <c r="F77" s="786" t="s">
        <v>68</v>
      </c>
      <c r="G77" s="768" t="s">
        <v>69</v>
      </c>
      <c r="H77" s="775" t="s">
        <v>70</v>
      </c>
      <c r="I77" s="793" t="s">
        <v>71</v>
      </c>
      <c r="J77" s="775" t="s">
        <v>72</v>
      </c>
      <c r="K77" s="775" t="s">
        <v>73</v>
      </c>
      <c r="L77" s="768" t="s">
        <v>74</v>
      </c>
      <c r="M77" s="768" t="s">
        <v>75</v>
      </c>
      <c r="N77" s="768" t="s">
        <v>76</v>
      </c>
      <c r="O77" s="778" t="s">
        <v>77</v>
      </c>
      <c r="P77" s="780" t="s">
        <v>78</v>
      </c>
      <c r="Q77" s="775" t="s">
        <v>79</v>
      </c>
      <c r="R77" s="768" t="s">
        <v>80</v>
      </c>
      <c r="S77" s="768" t="s">
        <v>81</v>
      </c>
      <c r="T77" s="775" t="s">
        <v>82</v>
      </c>
      <c r="U77" s="768" t="s">
        <v>83</v>
      </c>
      <c r="V77" s="768" t="s">
        <v>84</v>
      </c>
      <c r="W77" s="768" t="s">
        <v>85</v>
      </c>
      <c r="X77" s="768" t="s">
        <v>86</v>
      </c>
      <c r="Y77" s="768" t="s">
        <v>87</v>
      </c>
      <c r="Z77" s="775" t="s">
        <v>88</v>
      </c>
      <c r="AA77" s="768" t="s">
        <v>89</v>
      </c>
      <c r="AB77" s="768" t="s">
        <v>90</v>
      </c>
      <c r="AC77" s="768" t="s">
        <v>91</v>
      </c>
      <c r="AD77" s="772" t="s">
        <v>92</v>
      </c>
      <c r="AE77" s="772" t="s">
        <v>93</v>
      </c>
      <c r="AF77" s="793" t="s">
        <v>94</v>
      </c>
      <c r="AG77" s="110"/>
      <c r="AH77" s="796" t="s">
        <v>95</v>
      </c>
      <c r="AJ77" s="799" t="s">
        <v>96</v>
      </c>
      <c r="AK77" s="791" t="s">
        <v>97</v>
      </c>
      <c r="AL77" s="791" t="s">
        <v>98</v>
      </c>
      <c r="AM77" s="791" t="s">
        <v>99</v>
      </c>
      <c r="AN77" s="791" t="s">
        <v>100</v>
      </c>
      <c r="AO77" s="791" t="s">
        <v>101</v>
      </c>
      <c r="AP77" s="791" t="s">
        <v>102</v>
      </c>
      <c r="AQ77" s="791" t="s">
        <v>103</v>
      </c>
      <c r="AR77" s="791" t="s">
        <v>104</v>
      </c>
      <c r="AS77" s="791"/>
      <c r="AT77" s="791" t="s">
        <v>105</v>
      </c>
      <c r="AU77" s="791" t="s">
        <v>106</v>
      </c>
      <c r="AV77" s="792"/>
      <c r="AW77" s="771"/>
      <c r="AX77" s="771"/>
      <c r="AY77" s="771"/>
      <c r="AZ77" s="771"/>
      <c r="BA77" s="771"/>
      <c r="BB77" s="771"/>
    </row>
    <row r="78" spans="1:54" ht="15" customHeight="1">
      <c r="B78" s="111" t="s">
        <v>107</v>
      </c>
      <c r="C78" s="109" t="s">
        <v>108</v>
      </c>
      <c r="D78" s="783"/>
      <c r="F78" s="787"/>
      <c r="G78" s="769"/>
      <c r="H78" s="776"/>
      <c r="I78" s="794"/>
      <c r="J78" s="776"/>
      <c r="K78" s="776"/>
      <c r="L78" s="769"/>
      <c r="M78" s="769"/>
      <c r="N78" s="769"/>
      <c r="O78" s="779"/>
      <c r="P78" s="781"/>
      <c r="Q78" s="776"/>
      <c r="R78" s="769"/>
      <c r="S78" s="769"/>
      <c r="T78" s="776"/>
      <c r="U78" s="769"/>
      <c r="V78" s="769"/>
      <c r="W78" s="769"/>
      <c r="X78" s="769"/>
      <c r="Y78" s="769"/>
      <c r="Z78" s="776"/>
      <c r="AA78" s="769"/>
      <c r="AB78" s="769"/>
      <c r="AC78" s="769"/>
      <c r="AD78" s="773"/>
      <c r="AE78" s="773"/>
      <c r="AF78" s="794"/>
      <c r="AG78" s="112"/>
      <c r="AH78" s="797"/>
      <c r="AJ78" s="800"/>
      <c r="AK78" s="784"/>
      <c r="AL78" s="784"/>
      <c r="AM78" s="784"/>
      <c r="AN78" s="784"/>
      <c r="AO78" s="784"/>
      <c r="AP78" s="784"/>
      <c r="AQ78" s="784"/>
      <c r="AR78" s="784"/>
      <c r="AS78" s="784"/>
      <c r="AT78" s="784"/>
      <c r="AU78" s="784"/>
      <c r="AV78" s="792"/>
      <c r="AW78" s="771"/>
      <c r="AX78" s="771"/>
      <c r="AY78" s="771"/>
      <c r="AZ78" s="771"/>
      <c r="BA78" s="771"/>
      <c r="BB78" s="771"/>
    </row>
    <row r="79" spans="1:54" ht="12" customHeight="1">
      <c r="B79" s="111" t="s">
        <v>109</v>
      </c>
      <c r="C79" s="109" t="s">
        <v>110</v>
      </c>
      <c r="D79" s="783"/>
      <c r="F79" s="787"/>
      <c r="G79" s="769"/>
      <c r="H79" s="776"/>
      <c r="I79" s="794"/>
      <c r="J79" s="776"/>
      <c r="K79" s="776"/>
      <c r="L79" s="769"/>
      <c r="M79" s="769"/>
      <c r="N79" s="769"/>
      <c r="O79" s="779"/>
      <c r="P79" s="781"/>
      <c r="Q79" s="776"/>
      <c r="R79" s="769"/>
      <c r="S79" s="769"/>
      <c r="T79" s="776"/>
      <c r="U79" s="769"/>
      <c r="V79" s="769"/>
      <c r="W79" s="769"/>
      <c r="X79" s="769"/>
      <c r="Y79" s="769"/>
      <c r="Z79" s="776"/>
      <c r="AA79" s="769"/>
      <c r="AB79" s="769"/>
      <c r="AC79" s="769"/>
      <c r="AD79" s="773"/>
      <c r="AE79" s="773"/>
      <c r="AF79" s="794"/>
      <c r="AG79" s="112"/>
      <c r="AH79" s="797"/>
      <c r="AJ79" s="800"/>
      <c r="AK79" s="784"/>
      <c r="AL79" s="784"/>
      <c r="AM79" s="784"/>
      <c r="AN79" s="784"/>
      <c r="AO79" s="784"/>
      <c r="AP79" s="784"/>
      <c r="AQ79" s="784"/>
      <c r="AR79" s="784"/>
      <c r="AS79" s="784"/>
      <c r="AT79" s="784"/>
      <c r="AU79" s="784"/>
      <c r="AV79" s="792"/>
      <c r="AW79" s="771"/>
      <c r="AX79" s="771"/>
      <c r="AY79" s="771"/>
      <c r="AZ79" s="771"/>
      <c r="BA79" s="771"/>
      <c r="BB79" s="771"/>
    </row>
    <row r="80" spans="1:54" ht="12" customHeight="1">
      <c r="B80" s="782" t="s">
        <v>111</v>
      </c>
      <c r="C80" s="112"/>
      <c r="D80" s="113" t="s">
        <v>112</v>
      </c>
      <c r="F80" s="787"/>
      <c r="G80" s="769"/>
      <c r="H80" s="776"/>
      <c r="I80" s="794"/>
      <c r="J80" s="776"/>
      <c r="K80" s="776"/>
      <c r="L80" s="769"/>
      <c r="M80" s="769"/>
      <c r="N80" s="769"/>
      <c r="O80" s="779"/>
      <c r="P80" s="781"/>
      <c r="Q80" s="776"/>
      <c r="R80" s="769"/>
      <c r="S80" s="769"/>
      <c r="T80" s="776"/>
      <c r="U80" s="769"/>
      <c r="V80" s="769"/>
      <c r="W80" s="769"/>
      <c r="X80" s="769"/>
      <c r="Y80" s="769"/>
      <c r="Z80" s="776"/>
      <c r="AA80" s="769"/>
      <c r="AB80" s="769"/>
      <c r="AC80" s="769"/>
      <c r="AD80" s="773"/>
      <c r="AE80" s="773"/>
      <c r="AF80" s="794"/>
      <c r="AG80" s="112"/>
      <c r="AH80" s="797"/>
      <c r="AJ80" s="800"/>
      <c r="AK80" s="784"/>
      <c r="AL80" s="784"/>
      <c r="AM80" s="784"/>
      <c r="AN80" s="784"/>
      <c r="AO80" s="784"/>
      <c r="AP80" s="784"/>
      <c r="AQ80" s="784"/>
      <c r="AR80" s="784"/>
      <c r="AS80" s="784"/>
      <c r="AT80" s="784"/>
      <c r="AU80" s="784"/>
      <c r="AV80" s="792"/>
      <c r="AW80" s="771"/>
      <c r="AX80" s="771"/>
      <c r="AY80" s="771"/>
      <c r="AZ80" s="771"/>
      <c r="BA80" s="771"/>
      <c r="BB80" s="771"/>
    </row>
    <row r="81" spans="1:54" ht="18" customHeight="1">
      <c r="B81" s="782"/>
      <c r="C81" s="783" t="s">
        <v>113</v>
      </c>
      <c r="D81" s="112"/>
      <c r="F81" s="787"/>
      <c r="G81" s="769"/>
      <c r="H81" s="776"/>
      <c r="I81" s="794"/>
      <c r="J81" s="776"/>
      <c r="K81" s="776"/>
      <c r="L81" s="769"/>
      <c r="M81" s="769"/>
      <c r="N81" s="769"/>
      <c r="O81" s="779"/>
      <c r="P81" s="781"/>
      <c r="Q81" s="776"/>
      <c r="R81" s="769"/>
      <c r="S81" s="769"/>
      <c r="T81" s="776"/>
      <c r="U81" s="769"/>
      <c r="V81" s="769"/>
      <c r="W81" s="769"/>
      <c r="X81" s="769"/>
      <c r="Y81" s="769"/>
      <c r="Z81" s="776"/>
      <c r="AA81" s="769"/>
      <c r="AB81" s="769"/>
      <c r="AC81" s="769"/>
      <c r="AD81" s="773"/>
      <c r="AE81" s="773"/>
      <c r="AF81" s="794"/>
      <c r="AG81" s="112"/>
      <c r="AH81" s="797"/>
      <c r="AJ81" s="800"/>
      <c r="AK81" s="784"/>
      <c r="AL81" s="784"/>
      <c r="AM81" s="784"/>
      <c r="AN81" s="784"/>
      <c r="AO81" s="784"/>
      <c r="AP81" s="784"/>
      <c r="AQ81" s="784"/>
      <c r="AR81" s="784"/>
      <c r="AS81" s="784"/>
      <c r="AT81" s="784"/>
      <c r="AU81" s="784"/>
      <c r="AV81" s="792"/>
      <c r="AW81" s="771"/>
      <c r="AX81" s="771"/>
      <c r="AY81" s="771"/>
      <c r="AZ81" s="771"/>
      <c r="BA81" s="771"/>
      <c r="BB81" s="771"/>
    </row>
    <row r="82" spans="1:54" ht="16.5" customHeight="1">
      <c r="B82" s="111" t="s">
        <v>114</v>
      </c>
      <c r="C82" s="783"/>
      <c r="D82" s="784" t="s">
        <v>115</v>
      </c>
      <c r="F82" s="787"/>
      <c r="G82" s="769"/>
      <c r="H82" s="776"/>
      <c r="I82" s="794"/>
      <c r="J82" s="776"/>
      <c r="K82" s="776"/>
      <c r="L82" s="769"/>
      <c r="M82" s="769"/>
      <c r="N82" s="769"/>
      <c r="O82" s="779"/>
      <c r="P82" s="781"/>
      <c r="Q82" s="776"/>
      <c r="R82" s="769"/>
      <c r="S82" s="769"/>
      <c r="T82" s="776"/>
      <c r="U82" s="769"/>
      <c r="V82" s="769"/>
      <c r="W82" s="769"/>
      <c r="X82" s="769"/>
      <c r="Y82" s="769"/>
      <c r="Z82" s="776"/>
      <c r="AA82" s="769"/>
      <c r="AB82" s="769"/>
      <c r="AC82" s="769"/>
      <c r="AD82" s="773"/>
      <c r="AE82" s="773"/>
      <c r="AF82" s="794"/>
      <c r="AG82" s="112"/>
      <c r="AH82" s="797"/>
      <c r="AJ82" s="800"/>
      <c r="AK82" s="784"/>
      <c r="AL82" s="784"/>
      <c r="AM82" s="784"/>
      <c r="AN82" s="784"/>
      <c r="AO82" s="784"/>
      <c r="AP82" s="784"/>
      <c r="AQ82" s="784"/>
      <c r="AR82" s="784"/>
      <c r="AS82" s="784"/>
      <c r="AT82" s="784"/>
      <c r="AU82" s="784"/>
      <c r="AV82" s="792"/>
      <c r="AW82" s="771"/>
      <c r="AX82" s="771"/>
      <c r="AY82" s="771"/>
      <c r="AZ82" s="771"/>
      <c r="BA82" s="771"/>
      <c r="BB82" s="771"/>
    </row>
    <row r="83" spans="1:54" ht="12" customHeight="1">
      <c r="B83" s="114"/>
      <c r="C83" s="783"/>
      <c r="D83" s="784"/>
      <c r="F83" s="787"/>
      <c r="G83" s="769"/>
      <c r="H83" s="776"/>
      <c r="I83" s="794"/>
      <c r="J83" s="776"/>
      <c r="K83" s="776"/>
      <c r="L83" s="769"/>
      <c r="M83" s="769"/>
      <c r="N83" s="769"/>
      <c r="O83" s="779"/>
      <c r="P83" s="781"/>
      <c r="Q83" s="776"/>
      <c r="R83" s="769"/>
      <c r="S83" s="769"/>
      <c r="T83" s="776"/>
      <c r="U83" s="769"/>
      <c r="V83" s="769"/>
      <c r="W83" s="769"/>
      <c r="X83" s="769"/>
      <c r="Y83" s="769"/>
      <c r="Z83" s="776"/>
      <c r="AA83" s="769"/>
      <c r="AB83" s="769"/>
      <c r="AC83" s="769"/>
      <c r="AD83" s="773"/>
      <c r="AE83" s="773"/>
      <c r="AF83" s="794"/>
      <c r="AG83" s="112"/>
      <c r="AH83" s="797"/>
      <c r="AJ83" s="800"/>
      <c r="AK83" s="784"/>
      <c r="AL83" s="784"/>
      <c r="AM83" s="784"/>
      <c r="AN83" s="784"/>
      <c r="AO83" s="784"/>
      <c r="AP83" s="784"/>
      <c r="AQ83" s="784"/>
      <c r="AR83" s="784"/>
      <c r="AS83" s="784"/>
      <c r="AT83" s="784"/>
      <c r="AU83" s="784"/>
      <c r="AV83" s="792"/>
      <c r="AW83" s="771"/>
      <c r="AX83" s="771"/>
      <c r="AY83" s="771"/>
      <c r="AZ83" s="771"/>
      <c r="BA83" s="771"/>
      <c r="BB83" s="771"/>
    </row>
    <row r="84" spans="1:54" ht="12" customHeight="1">
      <c r="B84" s="114"/>
      <c r="C84" s="112"/>
      <c r="D84" s="784"/>
      <c r="F84" s="787"/>
      <c r="G84" s="769"/>
      <c r="H84" s="776"/>
      <c r="I84" s="794"/>
      <c r="J84" s="776"/>
      <c r="K84" s="776"/>
      <c r="L84" s="769"/>
      <c r="M84" s="769"/>
      <c r="N84" s="769"/>
      <c r="O84" s="779"/>
      <c r="P84" s="781"/>
      <c r="Q84" s="776"/>
      <c r="R84" s="769"/>
      <c r="S84" s="769"/>
      <c r="T84" s="776"/>
      <c r="U84" s="769"/>
      <c r="V84" s="769"/>
      <c r="W84" s="769"/>
      <c r="X84" s="769"/>
      <c r="Y84" s="769"/>
      <c r="Z84" s="776"/>
      <c r="AA84" s="769"/>
      <c r="AB84" s="769"/>
      <c r="AC84" s="769"/>
      <c r="AD84" s="773"/>
      <c r="AE84" s="773"/>
      <c r="AF84" s="794"/>
      <c r="AG84" s="112"/>
      <c r="AH84" s="797"/>
      <c r="AJ84" s="800"/>
      <c r="AK84" s="784"/>
      <c r="AL84" s="784"/>
      <c r="AM84" s="784"/>
      <c r="AN84" s="784"/>
      <c r="AO84" s="784"/>
      <c r="AP84" s="784"/>
      <c r="AQ84" s="784"/>
      <c r="AR84" s="784"/>
      <c r="AS84" s="784"/>
      <c r="AT84" s="784"/>
      <c r="AU84" s="784"/>
      <c r="AV84" s="792"/>
      <c r="AW84" s="771"/>
      <c r="AX84" s="771"/>
      <c r="AY84" s="771"/>
      <c r="AZ84" s="771"/>
      <c r="BA84" s="771"/>
      <c r="BB84" s="771"/>
    </row>
    <row r="85" spans="1:54" ht="12" customHeight="1">
      <c r="B85" s="114"/>
      <c r="C85" s="112"/>
      <c r="D85" s="784"/>
      <c r="F85" s="787"/>
      <c r="G85" s="769"/>
      <c r="H85" s="776"/>
      <c r="I85" s="794"/>
      <c r="J85" s="776"/>
      <c r="K85" s="776"/>
      <c r="L85" s="769"/>
      <c r="M85" s="769"/>
      <c r="N85" s="769"/>
      <c r="O85" s="115"/>
      <c r="P85" s="115"/>
      <c r="Q85" s="776"/>
      <c r="R85" s="769"/>
      <c r="S85" s="769"/>
      <c r="T85" s="776"/>
      <c r="U85" s="769"/>
      <c r="V85" s="769"/>
      <c r="W85" s="769"/>
      <c r="X85" s="769"/>
      <c r="Y85" s="769"/>
      <c r="Z85" s="776"/>
      <c r="AA85" s="769"/>
      <c r="AB85" s="769"/>
      <c r="AC85" s="769"/>
      <c r="AD85" s="773"/>
      <c r="AE85" s="773"/>
      <c r="AF85" s="794"/>
      <c r="AG85" s="112"/>
      <c r="AH85" s="797"/>
      <c r="AJ85" s="800"/>
      <c r="AK85" s="784"/>
      <c r="AL85" s="784"/>
      <c r="AM85" s="784"/>
      <c r="AN85" s="784"/>
      <c r="AO85" s="784"/>
      <c r="AP85" s="784"/>
      <c r="AQ85" s="784"/>
      <c r="AR85" s="784"/>
      <c r="AS85" s="784"/>
      <c r="AT85" s="784"/>
      <c r="AU85" s="784"/>
      <c r="AV85" s="792"/>
      <c r="AW85" s="771"/>
      <c r="AX85" s="771"/>
      <c r="AY85" s="771"/>
      <c r="AZ85" s="771"/>
      <c r="BA85" s="771"/>
      <c r="BB85" s="771"/>
    </row>
    <row r="86" spans="1:54" ht="12" customHeight="1">
      <c r="B86" s="116"/>
      <c r="C86" s="117"/>
      <c r="D86" s="785"/>
      <c r="F86" s="788"/>
      <c r="G86" s="770"/>
      <c r="H86" s="777"/>
      <c r="I86" s="795"/>
      <c r="J86" s="777"/>
      <c r="K86" s="777"/>
      <c r="L86" s="770"/>
      <c r="M86" s="770"/>
      <c r="N86" s="770"/>
      <c r="O86" s="118"/>
      <c r="P86" s="115"/>
      <c r="Q86" s="777"/>
      <c r="R86" s="770"/>
      <c r="S86" s="770"/>
      <c r="T86" s="777"/>
      <c r="U86" s="770"/>
      <c r="V86" s="770"/>
      <c r="W86" s="770"/>
      <c r="X86" s="770"/>
      <c r="Y86" s="770"/>
      <c r="Z86" s="777"/>
      <c r="AA86" s="770"/>
      <c r="AB86" s="770"/>
      <c r="AC86" s="770"/>
      <c r="AD86" s="774"/>
      <c r="AE86" s="774"/>
      <c r="AF86" s="795"/>
      <c r="AG86" s="117"/>
      <c r="AH86" s="798"/>
      <c r="AJ86" s="801"/>
      <c r="AK86" s="785"/>
      <c r="AL86" s="785"/>
      <c r="AM86" s="785"/>
      <c r="AN86" s="785"/>
      <c r="AO86" s="785"/>
      <c r="AP86" s="785"/>
      <c r="AQ86" s="785"/>
      <c r="AR86" s="785"/>
      <c r="AS86" s="785"/>
      <c r="AT86" s="785"/>
      <c r="AU86" s="785"/>
      <c r="AV86" s="792"/>
      <c r="AW86" s="771"/>
      <c r="AX86" s="771"/>
      <c r="AY86" s="771"/>
      <c r="AZ86" s="771"/>
      <c r="BA86" s="771"/>
      <c r="BB86" s="771"/>
    </row>
    <row r="87" spans="1:54" ht="105" hidden="1" customHeight="1">
      <c r="B87" s="119" t="s">
        <v>116</v>
      </c>
      <c r="C87" s="120" t="s">
        <v>117</v>
      </c>
      <c r="D87" s="121" t="s">
        <v>118</v>
      </c>
      <c r="E87">
        <v>1</v>
      </c>
      <c r="F87" s="122">
        <v>1</v>
      </c>
      <c r="G87" s="123">
        <v>1</v>
      </c>
      <c r="H87" s="124">
        <v>2200180</v>
      </c>
      <c r="I87" s="125"/>
      <c r="J87" s="124"/>
      <c r="K87" s="124" t="s">
        <v>119</v>
      </c>
      <c r="L87" s="126"/>
      <c r="M87" s="126"/>
      <c r="N87" s="127" t="s">
        <v>120</v>
      </c>
      <c r="O87" s="128" t="s">
        <v>121</v>
      </c>
      <c r="P87" s="126" t="s">
        <v>122</v>
      </c>
      <c r="Q87" s="129" t="s">
        <v>123</v>
      </c>
      <c r="R87" s="130" t="s">
        <v>124</v>
      </c>
      <c r="S87" s="131" t="s">
        <v>125</v>
      </c>
      <c r="T87" s="132">
        <v>40269</v>
      </c>
      <c r="U87" s="133" t="s">
        <v>126</v>
      </c>
      <c r="V87" s="134" t="s">
        <v>127</v>
      </c>
      <c r="W87" s="118" t="s">
        <v>128</v>
      </c>
      <c r="X87" s="135">
        <v>1734042822</v>
      </c>
      <c r="Y87" s="135">
        <v>1734042822</v>
      </c>
      <c r="Z87" s="136">
        <v>1</v>
      </c>
      <c r="AA87" s="127">
        <v>1</v>
      </c>
      <c r="AB87" s="127"/>
      <c r="AC87" s="127" t="s">
        <v>129</v>
      </c>
      <c r="AD87" s="137" t="s">
        <v>130</v>
      </c>
      <c r="AE87" s="138"/>
      <c r="AF87" s="125"/>
      <c r="AG87" s="117" t="s">
        <v>131</v>
      </c>
      <c r="AH87" s="139" t="s">
        <v>132</v>
      </c>
      <c r="AJ87" s="120"/>
      <c r="AK87" s="120" t="s">
        <v>133</v>
      </c>
      <c r="AL87" s="140" t="str">
        <f>VLOOKUP(AK87,'[3]17見直し計画'!$A$50:$AJ$584,6,0)</f>
        <v>社団法人
国際交流サービス協会</v>
      </c>
      <c r="AM87" s="140" t="str">
        <f>VLOOKUP(AK87,'[3]17見直し計画'!$A$50:$AJ$584,8,0)</f>
        <v>在外公館の庶務的業務の一部民間への委嘱（派遣員制度）</v>
      </c>
      <c r="AN87" s="140" t="str">
        <f>VLOOKUP(AK87,'[3]17見直し計画'!$A$50:$AJ$584,10,0)</f>
        <v>平成17/04/01</v>
      </c>
      <c r="AO87" s="141">
        <f>VLOOKUP(AK87,'[3]17見直し計画'!$A$50:$AJ$584,11,0)</f>
        <v>2116349849</v>
      </c>
      <c r="AP87" s="140" t="str">
        <f>VLOOKUP(AK87,'[3]17見直し計画'!$A$50:$AJ$584,12,0)</f>
        <v>本件制度は、在外公館における庶務的事務の一部補助を民間に委嘱するものであり、昭和４８年度の制度発足以来、国際交流サービス協会と契約を行っている。在外公館で必要とされる外国語能力を生かしつつ庶務的業務補助を行うという特殊業務を正しく理解し、我が方が求める人材を多数派遣しうる業者は他に見いだせないことから本件契約相手先として唯一の者である（会計法第２９条の３第４項）。</v>
      </c>
      <c r="AQ87" s="140" t="str">
        <f>VLOOKUP(AK87,'[3]17見直し計画'!$A$50:$AJ$584,13,0)</f>
        <v>見直しの余地があるもの</v>
      </c>
      <c r="AR87" s="140" t="str">
        <f>VLOOKUP(AK87,'[3]17見直し計画'!$A$50:$AJ$584,14,0)</f>
        <v>一般競争入札等に移行するための準備に時間を要するもの（２２年度以降において公募実施）</v>
      </c>
      <c r="AS87" s="140"/>
      <c r="AT87" s="140" t="str">
        <f>VLOOKUP(AK87,'[3]17見直し計画'!$A$50:$AJ$584,35,0)</f>
        <v>20年度においては「公募」による選定も実施済み。
派遣員の任期が2年であるため、昨年度採用した派遣員関連業務については随契
(案件番号2000674　平成20年4月1日契約　436,442,965円）</v>
      </c>
      <c r="AU87" s="140">
        <f>VLOOKUP(AK87,'[3]17見直し計画'!$A$50:$AJ$584,36,0)</f>
        <v>0</v>
      </c>
    </row>
    <row r="88" spans="1:54" ht="105" hidden="1" customHeight="1">
      <c r="B88" s="126" t="s">
        <v>134</v>
      </c>
      <c r="C88" s="120" t="s">
        <v>135</v>
      </c>
      <c r="D88" s="121" t="s">
        <v>136</v>
      </c>
      <c r="E88">
        <f>SUM(E87+1)</f>
        <v>2</v>
      </c>
      <c r="F88" s="122">
        <v>2</v>
      </c>
      <c r="G88" s="123">
        <v>2</v>
      </c>
      <c r="H88" s="124">
        <v>2200047</v>
      </c>
      <c r="I88" s="125"/>
      <c r="J88" s="124"/>
      <c r="K88" s="124" t="s">
        <v>137</v>
      </c>
      <c r="L88" s="126"/>
      <c r="M88" s="126"/>
      <c r="N88" s="127" t="s">
        <v>138</v>
      </c>
      <c r="O88" s="128" t="s">
        <v>139</v>
      </c>
      <c r="P88" s="126" t="s">
        <v>122</v>
      </c>
      <c r="Q88" s="129" t="s">
        <v>140</v>
      </c>
      <c r="R88" s="130" t="s">
        <v>141</v>
      </c>
      <c r="S88" s="131" t="s">
        <v>125</v>
      </c>
      <c r="T88" s="132">
        <v>40269</v>
      </c>
      <c r="U88" s="133" t="s">
        <v>142</v>
      </c>
      <c r="V88" s="134" t="s">
        <v>143</v>
      </c>
      <c r="W88" s="118" t="s">
        <v>144</v>
      </c>
      <c r="X88" s="135">
        <v>1461705000</v>
      </c>
      <c r="Y88" s="142">
        <v>1461705000</v>
      </c>
      <c r="Z88" s="136">
        <v>1</v>
      </c>
      <c r="AA88" s="127"/>
      <c r="AB88" s="127" t="s">
        <v>145</v>
      </c>
      <c r="AC88" s="127" t="s">
        <v>129</v>
      </c>
      <c r="AD88" s="137" t="s">
        <v>146</v>
      </c>
      <c r="AE88" s="138"/>
      <c r="AF88" s="125"/>
      <c r="AG88" s="117" t="s">
        <v>131</v>
      </c>
      <c r="AH88" s="139" t="s">
        <v>132</v>
      </c>
      <c r="AJ88" s="120"/>
      <c r="AK88" s="120" t="s">
        <v>147</v>
      </c>
      <c r="AL88" s="140" t="str">
        <f>VLOOKUP(AK88,'[3]17見直し計画'!$A$50:$AJ$584,6,0)</f>
        <v>　見直し計画策定以降の新規案件</v>
      </c>
      <c r="AM88" s="140">
        <f>VLOOKUP(AK88,'[3]17見直し計画'!$A$50:$AJ$584,8,0)</f>
        <v>0</v>
      </c>
      <c r="AN88" s="140">
        <f>VLOOKUP(AK88,'[3]17見直し計画'!$A$50:$AJ$584,10,0)</f>
        <v>0</v>
      </c>
      <c r="AO88" s="140">
        <f>VLOOKUP(AK88,'[3]17見直し計画'!$A$50:$AJ$584,11,0)</f>
        <v>0</v>
      </c>
      <c r="AP88" s="140">
        <f>VLOOKUP(AK88,'[3]17見直し計画'!$A$50:$AJ$584,12,0)</f>
        <v>0</v>
      </c>
      <c r="AQ88" s="140">
        <f>VLOOKUP(AK88,'[3]17見直し計画'!$A$50:$AJ$584,13,0)</f>
        <v>0</v>
      </c>
      <c r="AR88" s="140">
        <f>VLOOKUP(AK88,'[3]17見直し計画'!$A$50:$AJ$584,14,0)</f>
        <v>0</v>
      </c>
      <c r="AS88" s="140"/>
      <c r="AT88" s="140">
        <f>VLOOKUP(AK88,'[3]17見直し計画'!$A$50:$AJ$584,35,0)</f>
        <v>0</v>
      </c>
      <c r="AU88" s="140">
        <f>VLOOKUP(AK88,'[3]17見直し計画'!$A$50:$AJ$584,36,0)</f>
        <v>0</v>
      </c>
    </row>
    <row r="89" spans="1:54" ht="224.25" hidden="1" customHeight="1">
      <c r="A89" t="s">
        <v>148</v>
      </c>
      <c r="B89" s="118" t="s">
        <v>149</v>
      </c>
      <c r="C89" s="143" t="s">
        <v>135</v>
      </c>
      <c r="D89" s="121" t="s">
        <v>136</v>
      </c>
      <c r="E89">
        <f t="shared" ref="E89:E152" si="24">SUM(E88+1)</f>
        <v>3</v>
      </c>
      <c r="F89" s="122">
        <v>3</v>
      </c>
      <c r="G89" s="123">
        <v>3</v>
      </c>
      <c r="H89" s="124">
        <v>2200119</v>
      </c>
      <c r="I89" s="125"/>
      <c r="J89" s="124" t="s">
        <v>150</v>
      </c>
      <c r="K89" s="124" t="s">
        <v>137</v>
      </c>
      <c r="L89" s="126"/>
      <c r="M89" s="126"/>
      <c r="N89" s="127" t="s">
        <v>138</v>
      </c>
      <c r="O89" s="128" t="s">
        <v>139</v>
      </c>
      <c r="P89" s="126" t="s">
        <v>122</v>
      </c>
      <c r="Q89" s="144" t="s">
        <v>151</v>
      </c>
      <c r="R89" s="145" t="s">
        <v>152</v>
      </c>
      <c r="S89" s="146" t="s">
        <v>125</v>
      </c>
      <c r="T89" s="147">
        <v>40269</v>
      </c>
      <c r="U89" s="148" t="s">
        <v>153</v>
      </c>
      <c r="V89" s="149" t="s">
        <v>154</v>
      </c>
      <c r="W89" s="118" t="s">
        <v>155</v>
      </c>
      <c r="X89" s="135">
        <v>722510580</v>
      </c>
      <c r="Y89" s="135">
        <v>722510580</v>
      </c>
      <c r="Z89" s="136">
        <v>1</v>
      </c>
      <c r="AA89" s="127"/>
      <c r="AB89" s="127"/>
      <c r="AC89" s="127" t="s">
        <v>129</v>
      </c>
      <c r="AD89" s="137" t="s">
        <v>146</v>
      </c>
      <c r="AE89" s="138"/>
      <c r="AF89" s="125"/>
      <c r="AG89" s="117" t="s">
        <v>131</v>
      </c>
      <c r="AH89" s="139" t="s">
        <v>132</v>
      </c>
      <c r="AJ89" s="120" t="s">
        <v>156</v>
      </c>
      <c r="AK89" s="120" t="s">
        <v>157</v>
      </c>
      <c r="AL89" s="140" t="str">
        <f>VLOOKUP(AK89,'[3]17見直し計画'!$A$50:$AJ$584,6,0)</f>
        <v>富士通株式会社／センチュリー・リーシング・システム株式会社</v>
      </c>
      <c r="AM89" s="140" t="str">
        <f>VLOOKUP(AK89,'[3]17見直し計画'!$A$50:$AJ$584,8,0)</f>
        <v>旅券発給管理バックアップシステム一式の賃貸借</v>
      </c>
      <c r="AN89" s="150">
        <f>VLOOKUP(AK89,'[3]17見直し計画'!$A$50:$AJ$584,10,0)</f>
        <v>38443</v>
      </c>
      <c r="AO89" s="141">
        <f>VLOOKUP(AK89,'[3]17見直し計画'!$A$50:$AJ$584,11,0)</f>
        <v>86562000</v>
      </c>
      <c r="AP89" s="140" t="str">
        <f>VLOOKUP(AK89,'[3]17見直し計画'!$A$50:$AJ$584,12,0)</f>
        <v>平成１６年度に一般競争入札（賃貸期間４８ヶ月。但し契約自体は単年度）で導入した同システム一式の継続契約（会計法第２９条の３第４項、特例政令に該当）。</v>
      </c>
      <c r="AQ89" s="140" t="str">
        <f>VLOOKUP(AK89,'[3]17見直し計画'!$A$50:$AJ$584,13,0)</f>
        <v>見直しの余地があるもの</v>
      </c>
      <c r="AR89" s="140" t="str">
        <f>VLOOKUP(AK89,'[3]17見直し計画'!$A$50:$AJ$584,14,0)</f>
        <v>競争入札へ移行（平成２１年実施予定）</v>
      </c>
      <c r="AS89" s="140"/>
      <c r="AT89" s="140" t="str">
        <f>VLOOKUP(AK89,'[3]17見直し計画'!$A$50:$AJ$584,35,0)</f>
        <v>平成21年度中にリース期限切れとなるため、平成21年度に一般競争入札により更新予定
(H21.1月26日調査回答）
平成21年度中にリース期限切れとなるため、平成21年度に一般競争入札による更新を予定していたが、更新に係る予算が認められなかったため、平成21年度は再リースにより現機器に係る契約を継続し、平成22年度予算にて再度更新経費を要求の上、当初予算が認められれば一般競争入札にて更新予定。</v>
      </c>
      <c r="AU89" s="140" t="str">
        <f>VLOOKUP(AK89,'[3]17見直し計画'!$A$50:$AJ$584,36,0)</f>
        <v>平成21年度
(H21.1月26日調査回答）
平成22年度以降</v>
      </c>
      <c r="AV89" t="s">
        <v>158</v>
      </c>
    </row>
    <row r="90" spans="1:54" ht="105" hidden="1" customHeight="1">
      <c r="B90" s="151"/>
      <c r="C90" s="152"/>
      <c r="D90" s="153" t="s">
        <v>159</v>
      </c>
      <c r="E90" s="154">
        <f t="shared" si="24"/>
        <v>4</v>
      </c>
      <c r="F90" s="155">
        <v>4</v>
      </c>
      <c r="G90" s="156">
        <v>4</v>
      </c>
      <c r="H90" s="157">
        <v>2200396</v>
      </c>
      <c r="I90" s="158"/>
      <c r="J90" s="157" t="s">
        <v>160</v>
      </c>
      <c r="K90" s="157" t="s">
        <v>161</v>
      </c>
      <c r="L90" s="159"/>
      <c r="M90" s="159"/>
      <c r="N90" s="160" t="s">
        <v>162</v>
      </c>
      <c r="O90" s="161" t="s">
        <v>121</v>
      </c>
      <c r="P90" s="159" t="s">
        <v>163</v>
      </c>
      <c r="Q90" s="162" t="s">
        <v>164</v>
      </c>
      <c r="R90" s="163" t="s">
        <v>165</v>
      </c>
      <c r="S90" s="164" t="s">
        <v>125</v>
      </c>
      <c r="T90" s="165">
        <v>40269</v>
      </c>
      <c r="U90" s="166" t="s">
        <v>166</v>
      </c>
      <c r="V90" s="167" t="s">
        <v>167</v>
      </c>
      <c r="W90" s="151" t="s">
        <v>168</v>
      </c>
      <c r="X90" s="168">
        <v>637292000</v>
      </c>
      <c r="Y90" s="168">
        <v>637292000</v>
      </c>
      <c r="Z90" s="169">
        <v>1</v>
      </c>
      <c r="AA90" s="160">
        <v>2</v>
      </c>
      <c r="AB90" s="160"/>
      <c r="AC90" s="160" t="s">
        <v>169</v>
      </c>
      <c r="AD90" s="170" t="s">
        <v>170</v>
      </c>
      <c r="AE90" s="171"/>
      <c r="AF90" s="158"/>
      <c r="AG90" s="172" t="s">
        <v>131</v>
      </c>
      <c r="AH90" s="173" t="s">
        <v>171</v>
      </c>
      <c r="AI90" s="154"/>
      <c r="AJ90" s="152" t="s">
        <v>156</v>
      </c>
      <c r="AK90" s="152" t="s">
        <v>172</v>
      </c>
      <c r="AL90" s="174" t="str">
        <f>VLOOKUP(AK90,'[3]17見直し計画'!$A$50:$AJ$584,6,0)</f>
        <v>財団法人　
日本国際問題研究所</v>
      </c>
      <c r="AM90" s="174" t="str">
        <f>VLOOKUP(AK90,'[3]17見直し計画'!$A$50:$AJ$584,8,0)</f>
        <v>軍縮・不拡散調査研究等の委嘱</v>
      </c>
      <c r="AN90" s="174" t="str">
        <f>VLOOKUP(AK90,'[3]17見直し計画'!$A$50:$AJ$584,10,0)</f>
        <v>平成17/04/01</v>
      </c>
      <c r="AO90" s="175">
        <f>VLOOKUP(AK90,'[3]17見直し計画'!$A$50:$AJ$584,11,0)</f>
        <v>20132333</v>
      </c>
      <c r="AP90" s="174" t="str">
        <f>VLOOKUP(AK90,'[3]17見直し計画'!$A$50:$AJ$584,12,0)</f>
        <v>軍備管理・軍縮・不拡散分野全般で、総合的な知見及び国内外の専門家・研究者との高度かつ広範囲のネットワークを有しているシンクタンクは日本国際問題研究所軍縮不拡散・促進センター以外にない。また、同センターにこれまでの調査研究で得た専門的な知見を活用し、ノウハウの蓄積を図らしめることは、当省の専門的知識の蓄積に資すると共に、民間研究者党の利益にも適う（会計法第２９条の３第４項）。</v>
      </c>
      <c r="AQ90" s="174" t="str">
        <f>VLOOKUP(AK90,'[3]17見直し計画'!$A$50:$AJ$584,13,0)</f>
        <v>見直しの余地があるもの</v>
      </c>
      <c r="AR90" s="174" t="str">
        <f>VLOOKUP(AK90,'[3]17見直し計画'!$A$50:$AJ$584,14,0)</f>
        <v>一般競争入札等に移行するための準備に時間を要するもの（１９年度以降において公募実施）</v>
      </c>
      <c r="AS90" s="174"/>
      <c r="AT90" s="174">
        <f>VLOOKUP(AK90,'[3]17見直し計画'!$A$50:$AJ$584,35,0)</f>
        <v>0</v>
      </c>
      <c r="AU90" s="174">
        <f>VLOOKUP(AK90,'[3]17見直し計画'!$A$50:$AJ$584,36,0)</f>
        <v>0</v>
      </c>
    </row>
    <row r="91" spans="1:54" ht="105" hidden="1" customHeight="1">
      <c r="A91" t="s">
        <v>148</v>
      </c>
      <c r="B91" s="176" t="s">
        <v>173</v>
      </c>
      <c r="C91" s="120" t="s">
        <v>174</v>
      </c>
      <c r="D91" s="121" t="s">
        <v>175</v>
      </c>
      <c r="E91">
        <f t="shared" si="24"/>
        <v>5</v>
      </c>
      <c r="F91" s="122">
        <v>5</v>
      </c>
      <c r="G91" s="123">
        <v>5</v>
      </c>
      <c r="H91" s="124">
        <v>2200070</v>
      </c>
      <c r="I91" s="125"/>
      <c r="J91" s="124" t="s">
        <v>176</v>
      </c>
      <c r="K91" s="124" t="s">
        <v>177</v>
      </c>
      <c r="L91" s="126"/>
      <c r="M91" s="126"/>
      <c r="N91" s="127" t="s">
        <v>120</v>
      </c>
      <c r="O91" s="128" t="s">
        <v>121</v>
      </c>
      <c r="P91" s="126" t="s">
        <v>122</v>
      </c>
      <c r="Q91" s="129" t="s">
        <v>178</v>
      </c>
      <c r="R91" s="130" t="s">
        <v>179</v>
      </c>
      <c r="S91" s="131" t="s">
        <v>125</v>
      </c>
      <c r="T91" s="132">
        <v>40269</v>
      </c>
      <c r="U91" s="133" t="s">
        <v>180</v>
      </c>
      <c r="V91" s="134" t="s">
        <v>181</v>
      </c>
      <c r="W91" s="118" t="s">
        <v>182</v>
      </c>
      <c r="X91" s="135">
        <v>619401000</v>
      </c>
      <c r="Y91" s="135">
        <v>619401000</v>
      </c>
      <c r="Z91" s="136">
        <v>1</v>
      </c>
      <c r="AA91" s="127">
        <v>0</v>
      </c>
      <c r="AB91" s="127"/>
      <c r="AC91" s="127" t="s">
        <v>129</v>
      </c>
      <c r="AD91" s="137" t="s">
        <v>130</v>
      </c>
      <c r="AE91" s="138"/>
      <c r="AF91" s="125"/>
      <c r="AG91" s="117" t="s">
        <v>131</v>
      </c>
      <c r="AH91" s="139" t="s">
        <v>132</v>
      </c>
      <c r="AJ91" s="120"/>
      <c r="AK91" s="120" t="s">
        <v>183</v>
      </c>
      <c r="AL91" s="140" t="str">
        <f>VLOOKUP(AK91,'[3]17見直し計画'!$A$50:$AJ$584,6,0)</f>
        <v>財団法人　アジア福祉教育財団</v>
      </c>
      <c r="AM91" s="140" t="str">
        <f>VLOOKUP(AK91,'[3]17見直し計画'!$A$50:$AJ$584,8,0)</f>
        <v>インドシナ難民等救援業務委託費</v>
      </c>
      <c r="AN91" s="140" t="str">
        <f>VLOOKUP(AK91,'[3]17見直し計画'!$A$50:$AJ$584,10,0)</f>
        <v>平成17/04/01</v>
      </c>
      <c r="AO91" s="141">
        <f>VLOOKUP(AK91,'[3]17見直し計画'!$A$50:$AJ$584,11,0)</f>
        <v>637138000</v>
      </c>
      <c r="AP91" s="140" t="str">
        <f>VLOOKUP(AK91,'[3]17見直し計画'!$A$50:$AJ$584,12,0)</f>
        <v>本件事業は、閣議了解されている我が国の難民受入・定住支援対策に基づき、右閣議了解で設置された難民対策連絡調整会議を通じた政府決定として、本件財団に委託しているものである。また、右調整会議の決定により、平成１８年度から不動産の取得を伴う新規事業が開始されたばかりであり、我が国が国際協力の一環として公平かつ一貫した難民認定申請者の保護・支援を行うためにも、他に選択肢がない（会計法第２９条の３第４項）。</v>
      </c>
      <c r="AQ91" s="140" t="str">
        <f>VLOOKUP(AK91,'[3]17見直し計画'!$A$50:$AJ$584,13,0)</f>
        <v>見直しの余地があるもの</v>
      </c>
      <c r="AR91" s="140" t="str">
        <f>VLOOKUP(AK91,'[3]17見直し計画'!$A$50:$AJ$584,14,0)</f>
        <v>一般競争入札等に移行するための準備に時間を要するもの（２３年度以降において公募実施）</v>
      </c>
      <c r="AS91" s="140"/>
      <c r="AT91" s="140" t="str">
        <f>VLOOKUP(AK91,'[3]17見直し計画'!$A$50:$AJ$584,35,0)</f>
        <v>　同委託業務は、難民認定申請者の保護、難民認定者定住支援等、高度な専門性、知見等を要する業務であることから、今後、平成23年度からの公募方式への移行に向け、単年度の公募方式に移行した場合のサービスの低下の回避、委託すべき業務内容の精査等を行っているところである。</v>
      </c>
      <c r="AU91" s="140" t="str">
        <f>VLOOKUP(AK91,'[3]17見直し計画'!$A$50:$AJ$584,36,0)</f>
        <v>平成23年度</v>
      </c>
      <c r="AV91" t="s">
        <v>148</v>
      </c>
    </row>
    <row r="92" spans="1:54" ht="105" hidden="1" customHeight="1">
      <c r="B92" s="118" t="s">
        <v>184</v>
      </c>
      <c r="C92" s="120" t="s">
        <v>135</v>
      </c>
      <c r="D92" s="120" t="s">
        <v>136</v>
      </c>
      <c r="E92">
        <f t="shared" si="24"/>
        <v>6</v>
      </c>
      <c r="F92" s="122">
        <v>6</v>
      </c>
      <c r="G92" s="123">
        <v>6</v>
      </c>
      <c r="H92" s="124">
        <v>2200076</v>
      </c>
      <c r="I92" s="125"/>
      <c r="J92" s="124" t="s">
        <v>185</v>
      </c>
      <c r="K92" s="124" t="s">
        <v>137</v>
      </c>
      <c r="L92" s="126"/>
      <c r="M92" s="126"/>
      <c r="N92" s="127" t="s">
        <v>186</v>
      </c>
      <c r="O92" s="128" t="s">
        <v>187</v>
      </c>
      <c r="P92" s="126" t="s">
        <v>122</v>
      </c>
      <c r="Q92" s="129" t="s">
        <v>188</v>
      </c>
      <c r="R92" s="130" t="s">
        <v>189</v>
      </c>
      <c r="S92" s="131" t="s">
        <v>125</v>
      </c>
      <c r="T92" s="132">
        <v>40269</v>
      </c>
      <c r="U92" s="133" t="s">
        <v>190</v>
      </c>
      <c r="V92" s="134" t="s">
        <v>143</v>
      </c>
      <c r="W92" s="118" t="s">
        <v>191</v>
      </c>
      <c r="X92" s="135">
        <v>425329556</v>
      </c>
      <c r="Y92" s="135">
        <v>425329556</v>
      </c>
      <c r="Z92" s="136">
        <v>1</v>
      </c>
      <c r="AA92" s="127"/>
      <c r="AB92" s="127"/>
      <c r="AC92" s="127" t="s">
        <v>129</v>
      </c>
      <c r="AD92" s="137" t="s">
        <v>192</v>
      </c>
      <c r="AE92" s="138"/>
      <c r="AF92" s="125"/>
      <c r="AG92" s="117" t="s">
        <v>131</v>
      </c>
      <c r="AH92" s="139" t="s">
        <v>132</v>
      </c>
      <c r="AI92" s="177"/>
      <c r="AJ92" s="120"/>
      <c r="AK92" s="178" t="s">
        <v>147</v>
      </c>
      <c r="AL92" s="140" t="str">
        <f>VLOOKUP(AK92,'[3]17見直し計画'!$A$50:$AJ$584,6,0)</f>
        <v>　見直し計画策定以降の新規案件</v>
      </c>
      <c r="AM92" s="140">
        <f>VLOOKUP(AK92,'[3]17見直し計画'!$A$50:$AJ$584,8,0)</f>
        <v>0</v>
      </c>
      <c r="AN92" s="140">
        <f>VLOOKUP(AK92,'[3]17見直し計画'!$A$50:$AJ$584,10,0)</f>
        <v>0</v>
      </c>
      <c r="AO92" s="140">
        <f>VLOOKUP(AK92,'[3]17見直し計画'!$A$50:$AJ$584,11,0)</f>
        <v>0</v>
      </c>
      <c r="AP92" s="140">
        <f>VLOOKUP(AK92,'[3]17見直し計画'!$A$50:$AJ$584,12,0)</f>
        <v>0</v>
      </c>
      <c r="AQ92" s="140">
        <f>VLOOKUP(AK92,'[3]17見直し計画'!$A$50:$AJ$584,13,0)</f>
        <v>0</v>
      </c>
      <c r="AR92" s="140">
        <f>VLOOKUP(AK92,'[3]17見直し計画'!$A$50:$AJ$584,14,0)</f>
        <v>0</v>
      </c>
      <c r="AS92" s="140"/>
      <c r="AT92" s="140">
        <f>VLOOKUP(AK92,'[3]17見直し計画'!$A$50:$AJ$584,35,0)</f>
        <v>0</v>
      </c>
      <c r="AU92" s="140">
        <f>VLOOKUP(AK92,'[3]17見直し計画'!$A$50:$AJ$584,36,0)</f>
        <v>0</v>
      </c>
    </row>
    <row r="93" spans="1:54" ht="105" hidden="1" customHeight="1">
      <c r="B93" s="118" t="s">
        <v>193</v>
      </c>
      <c r="C93" s="120" t="s">
        <v>135</v>
      </c>
      <c r="D93" s="120" t="s">
        <v>136</v>
      </c>
      <c r="E93">
        <f t="shared" si="24"/>
        <v>7</v>
      </c>
      <c r="F93" s="122">
        <v>7</v>
      </c>
      <c r="G93" s="123">
        <v>7</v>
      </c>
      <c r="H93" s="124">
        <v>2200222</v>
      </c>
      <c r="I93" s="125"/>
      <c r="J93" s="124" t="s">
        <v>194</v>
      </c>
      <c r="K93" s="124" t="s">
        <v>195</v>
      </c>
      <c r="L93" s="126"/>
      <c r="M93" s="126"/>
      <c r="N93" s="127" t="s">
        <v>138</v>
      </c>
      <c r="O93" s="128" t="s">
        <v>139</v>
      </c>
      <c r="P93" s="126" t="s">
        <v>122</v>
      </c>
      <c r="Q93" s="129" t="s">
        <v>196</v>
      </c>
      <c r="R93" s="130" t="s">
        <v>197</v>
      </c>
      <c r="S93" s="131" t="s">
        <v>125</v>
      </c>
      <c r="T93" s="132">
        <v>40269</v>
      </c>
      <c r="U93" s="133" t="s">
        <v>198</v>
      </c>
      <c r="V93" s="134" t="s">
        <v>199</v>
      </c>
      <c r="W93" s="118" t="s">
        <v>191</v>
      </c>
      <c r="X93" s="135">
        <v>342884556</v>
      </c>
      <c r="Y93" s="135">
        <v>342884556</v>
      </c>
      <c r="Z93" s="136">
        <v>1</v>
      </c>
      <c r="AA93" s="127"/>
      <c r="AB93" s="127"/>
      <c r="AC93" s="127" t="s">
        <v>129</v>
      </c>
      <c r="AD93" s="137" t="s">
        <v>146</v>
      </c>
      <c r="AE93" s="138"/>
      <c r="AF93" s="125"/>
      <c r="AG93" s="117" t="s">
        <v>131</v>
      </c>
      <c r="AH93" s="139" t="s">
        <v>132</v>
      </c>
      <c r="AJ93" s="179" t="s">
        <v>200</v>
      </c>
      <c r="AK93" s="178" t="s">
        <v>147</v>
      </c>
      <c r="AL93" s="140" t="str">
        <f>VLOOKUP(AK93,'[3]17見直し計画'!$A$50:$AJ$584,6,0)</f>
        <v>　見直し計画策定以降の新規案件</v>
      </c>
      <c r="AM93" s="140">
        <f>VLOOKUP(AK93,'[3]17見直し計画'!$A$50:$AJ$584,8,0)</f>
        <v>0</v>
      </c>
      <c r="AN93" s="140">
        <f>VLOOKUP(AK93,'[3]17見直し計画'!$A$50:$AJ$584,10,0)</f>
        <v>0</v>
      </c>
      <c r="AO93" s="140">
        <f>VLOOKUP(AK93,'[3]17見直し計画'!$A$50:$AJ$584,11,0)</f>
        <v>0</v>
      </c>
      <c r="AP93" s="140">
        <f>VLOOKUP(AK93,'[3]17見直し計画'!$A$50:$AJ$584,12,0)</f>
        <v>0</v>
      </c>
      <c r="AQ93" s="140">
        <f>VLOOKUP(AK93,'[3]17見直し計画'!$A$50:$AJ$584,13,0)</f>
        <v>0</v>
      </c>
      <c r="AR93" s="140">
        <f>VLOOKUP(AK93,'[3]17見直し計画'!$A$50:$AJ$584,14,0)</f>
        <v>0</v>
      </c>
      <c r="AS93" s="140"/>
      <c r="AT93" s="140">
        <f>VLOOKUP(AK93,'[3]17見直し計画'!$A$50:$AJ$584,35,0)</f>
        <v>0</v>
      </c>
      <c r="AU93" s="140">
        <f>VLOOKUP(AK93,'[3]17見直し計画'!$A$50:$AJ$584,36,0)</f>
        <v>0</v>
      </c>
    </row>
    <row r="94" spans="1:54" ht="105" hidden="1" customHeight="1">
      <c r="B94" s="118" t="s">
        <v>149</v>
      </c>
      <c r="C94" s="120" t="s">
        <v>117</v>
      </c>
      <c r="D94" s="121" t="s">
        <v>118</v>
      </c>
      <c r="E94">
        <f t="shared" si="24"/>
        <v>8</v>
      </c>
      <c r="F94" s="122">
        <v>8</v>
      </c>
      <c r="G94" s="123">
        <v>8</v>
      </c>
      <c r="H94" s="124">
        <v>2200225</v>
      </c>
      <c r="I94" s="125"/>
      <c r="J94" s="124" t="s">
        <v>201</v>
      </c>
      <c r="K94" s="124" t="s">
        <v>195</v>
      </c>
      <c r="L94" s="126"/>
      <c r="M94" s="126"/>
      <c r="N94" s="127" t="s">
        <v>138</v>
      </c>
      <c r="O94" s="128" t="s">
        <v>139</v>
      </c>
      <c r="P94" s="126" t="s">
        <v>122</v>
      </c>
      <c r="Q94" s="129" t="s">
        <v>202</v>
      </c>
      <c r="R94" s="130" t="s">
        <v>203</v>
      </c>
      <c r="S94" s="131" t="s">
        <v>125</v>
      </c>
      <c r="T94" s="132">
        <v>40269</v>
      </c>
      <c r="U94" s="133" t="s">
        <v>198</v>
      </c>
      <c r="V94" s="134" t="s">
        <v>199</v>
      </c>
      <c r="W94" s="118" t="s">
        <v>191</v>
      </c>
      <c r="X94" s="135">
        <v>291135588</v>
      </c>
      <c r="Y94" s="135">
        <v>291135588</v>
      </c>
      <c r="Z94" s="136">
        <v>1</v>
      </c>
      <c r="AA94" s="127"/>
      <c r="AB94" s="127"/>
      <c r="AC94" s="127" t="s">
        <v>129</v>
      </c>
      <c r="AD94" s="137" t="s">
        <v>146</v>
      </c>
      <c r="AE94" s="138"/>
      <c r="AF94" s="125"/>
      <c r="AG94" s="117" t="s">
        <v>131</v>
      </c>
      <c r="AH94" s="139" t="s">
        <v>132</v>
      </c>
      <c r="AJ94" s="121" t="s">
        <v>204</v>
      </c>
      <c r="AK94" s="178" t="s">
        <v>205</v>
      </c>
      <c r="AL94" s="140" t="str">
        <f>VLOOKUP(AK94,'[3]17見直し計画'!$A$50:$AJ$584,6,0)</f>
        <v>富士通株式会社／センチュリー・リーシング・システム株式会社</v>
      </c>
      <c r="AM94" s="140" t="str">
        <f>VLOOKUP(AK94,'[3]17見直し計画'!$A$50:$AJ$584,8,0)</f>
        <v>「通信用サーバ機器」一式の賃貸借・保守</v>
      </c>
      <c r="AN94" s="180">
        <f>VLOOKUP(AK94,'[3]17見直し計画'!$A$50:$AJ$584,10,0)</f>
        <v>38443</v>
      </c>
      <c r="AO94" s="141">
        <f>VLOOKUP(AK94,'[3]17見直し計画'!$A$50:$AJ$584,11,0)</f>
        <v>441000000</v>
      </c>
      <c r="AP94" s="140" t="str">
        <f>VLOOKUP(AK94,'[3]17見直し計画'!$A$50:$AJ$584,12,0)</f>
        <v>平成１５年度に一般競争入札（賃貸期間４８ヶ月。但し契約自体は単年度）で導入した通信用サーバ一式の継続契約（会計法第２９条の３第４項、特例政令に該当）。</v>
      </c>
      <c r="AQ94" s="140" t="str">
        <f>VLOOKUP(AK94,'[3]17見直し計画'!$A$50:$AJ$584,13,0)</f>
        <v>見直しの余地があるもの</v>
      </c>
      <c r="AR94" s="140" t="str">
        <f>VLOOKUP(AK94,'[3]17見直し計画'!$A$50:$AJ$584,14,0)</f>
        <v>競争入札へ移行（１９年度末に入札実施の上、国庫債務負担行為を適用し、複数年度契約を締結予定）</v>
      </c>
      <c r="AS94" s="140"/>
      <c r="AT94" s="140">
        <f>VLOOKUP(AK94,'[3]17見直し計画'!$A$50:$AJ$584,35,0)</f>
        <v>0</v>
      </c>
      <c r="AU94" s="140">
        <f>VLOOKUP(AK94,'[3]17見直し計画'!$A$50:$AJ$584,36,0)</f>
        <v>0</v>
      </c>
    </row>
    <row r="95" spans="1:54" ht="105" hidden="1" customHeight="1">
      <c r="B95" s="118" t="s">
        <v>206</v>
      </c>
      <c r="C95" s="120" t="s">
        <v>135</v>
      </c>
      <c r="D95" s="120" t="s">
        <v>136</v>
      </c>
      <c r="E95">
        <f t="shared" si="24"/>
        <v>9</v>
      </c>
      <c r="F95" s="122">
        <v>9</v>
      </c>
      <c r="G95" s="123">
        <v>9</v>
      </c>
      <c r="H95" s="124">
        <v>2200298</v>
      </c>
      <c r="I95" s="125"/>
      <c r="J95" s="124"/>
      <c r="K95" s="124" t="s">
        <v>207</v>
      </c>
      <c r="L95" s="126"/>
      <c r="M95" s="126"/>
      <c r="N95" s="127" t="s">
        <v>186</v>
      </c>
      <c r="O95" s="128" t="s">
        <v>187</v>
      </c>
      <c r="P95" s="126" t="s">
        <v>122</v>
      </c>
      <c r="Q95" s="129" t="s">
        <v>208</v>
      </c>
      <c r="R95" s="130" t="s">
        <v>209</v>
      </c>
      <c r="S95" s="131" t="s">
        <v>125</v>
      </c>
      <c r="T95" s="132">
        <v>40269</v>
      </c>
      <c r="U95" s="133" t="s">
        <v>210</v>
      </c>
      <c r="V95" s="134" t="s">
        <v>211</v>
      </c>
      <c r="W95" s="118" t="s">
        <v>212</v>
      </c>
      <c r="X95" s="135">
        <v>272755999</v>
      </c>
      <c r="Y95" s="135">
        <v>272755999</v>
      </c>
      <c r="Z95" s="136">
        <v>1</v>
      </c>
      <c r="AA95" s="127"/>
      <c r="AB95" s="127"/>
      <c r="AC95" s="127" t="s">
        <v>129</v>
      </c>
      <c r="AD95" s="137" t="s">
        <v>192</v>
      </c>
      <c r="AE95" s="138"/>
      <c r="AF95" s="125"/>
      <c r="AG95" s="117" t="s">
        <v>131</v>
      </c>
      <c r="AH95" s="139" t="s">
        <v>132</v>
      </c>
      <c r="AJ95" s="120"/>
      <c r="AK95" s="178" t="s">
        <v>147</v>
      </c>
      <c r="AL95" s="140" t="str">
        <f>VLOOKUP(AK95,'[3]17見直し計画'!$A$50:$AJ$584,6,0)</f>
        <v>　見直し計画策定以降の新規案件</v>
      </c>
      <c r="AM95" s="140">
        <f>VLOOKUP(AK95,'[3]17見直し計画'!$A$50:$AJ$584,8,0)</f>
        <v>0</v>
      </c>
      <c r="AN95" s="140">
        <f>VLOOKUP(AK95,'[3]17見直し計画'!$A$50:$AJ$584,10,0)</f>
        <v>0</v>
      </c>
      <c r="AO95" s="141">
        <f>VLOOKUP(AK95,'[3]17見直し計画'!$A$50:$AJ$584,11,0)</f>
        <v>0</v>
      </c>
      <c r="AP95" s="140">
        <f>VLOOKUP(AK95,'[3]17見直し計画'!$A$50:$AJ$584,12,0)</f>
        <v>0</v>
      </c>
      <c r="AQ95" s="140">
        <f>VLOOKUP(AK95,'[3]17見直し計画'!$A$50:$AJ$584,13,0)</f>
        <v>0</v>
      </c>
      <c r="AR95" s="140">
        <f>VLOOKUP(AK95,'[3]17見直し計画'!$A$50:$AJ$584,14,0)</f>
        <v>0</v>
      </c>
      <c r="AS95" s="140"/>
      <c r="AT95" s="140">
        <f>VLOOKUP(AK95,'[3]17見直し計画'!$A$50:$AJ$584,35,0)</f>
        <v>0</v>
      </c>
      <c r="AU95" s="140">
        <f>VLOOKUP(AK95,'[3]17見直し計画'!$A$50:$AJ$584,36,0)</f>
        <v>0</v>
      </c>
    </row>
    <row r="96" spans="1:54" ht="105" hidden="1" customHeight="1">
      <c r="B96" s="118" t="s">
        <v>213</v>
      </c>
      <c r="C96" s="120" t="s">
        <v>135</v>
      </c>
      <c r="D96" s="120" t="s">
        <v>136</v>
      </c>
      <c r="E96">
        <f t="shared" si="24"/>
        <v>10</v>
      </c>
      <c r="F96" s="122">
        <v>10</v>
      </c>
      <c r="G96" s="123">
        <v>10</v>
      </c>
      <c r="H96" s="124">
        <v>2200078</v>
      </c>
      <c r="I96" s="125"/>
      <c r="J96" s="124" t="s">
        <v>214</v>
      </c>
      <c r="K96" s="124" t="s">
        <v>137</v>
      </c>
      <c r="L96" s="126"/>
      <c r="M96" s="126"/>
      <c r="N96" s="127" t="s">
        <v>186</v>
      </c>
      <c r="O96" s="128" t="s">
        <v>187</v>
      </c>
      <c r="P96" s="126" t="s">
        <v>122</v>
      </c>
      <c r="Q96" s="129" t="s">
        <v>215</v>
      </c>
      <c r="R96" s="130" t="s">
        <v>216</v>
      </c>
      <c r="S96" s="131" t="s">
        <v>125</v>
      </c>
      <c r="T96" s="132">
        <v>40269</v>
      </c>
      <c r="U96" s="133" t="s">
        <v>190</v>
      </c>
      <c r="V96" s="134" t="s">
        <v>143</v>
      </c>
      <c r="W96" s="118" t="s">
        <v>217</v>
      </c>
      <c r="X96" s="135">
        <v>248608272</v>
      </c>
      <c r="Y96" s="135">
        <v>248608272</v>
      </c>
      <c r="Z96" s="136">
        <v>1</v>
      </c>
      <c r="AA96" s="127"/>
      <c r="AB96" s="127"/>
      <c r="AC96" s="127" t="s">
        <v>129</v>
      </c>
      <c r="AD96" s="137" t="s">
        <v>192</v>
      </c>
      <c r="AE96" s="138"/>
      <c r="AF96" s="125"/>
      <c r="AG96" s="117" t="s">
        <v>131</v>
      </c>
      <c r="AH96" s="139" t="s">
        <v>132</v>
      </c>
      <c r="AJ96" s="120"/>
      <c r="AK96" s="178" t="s">
        <v>147</v>
      </c>
      <c r="AL96" s="140" t="str">
        <f>VLOOKUP(AK96,'[3]17見直し計画'!$A$50:$AJ$584,6,0)</f>
        <v>　見直し計画策定以降の新規案件</v>
      </c>
      <c r="AM96" s="140">
        <f>VLOOKUP(AK96,'[3]17見直し計画'!$A$50:$AJ$584,8,0)</f>
        <v>0</v>
      </c>
      <c r="AN96" s="140">
        <f>VLOOKUP(AK96,'[3]17見直し計画'!$A$50:$AJ$584,10,0)</f>
        <v>0</v>
      </c>
      <c r="AO96" s="141">
        <f>VLOOKUP(AK96,'[3]17見直し計画'!$A$50:$AJ$584,11,0)</f>
        <v>0</v>
      </c>
      <c r="AP96" s="140">
        <f>VLOOKUP(AK96,'[3]17見直し計画'!$A$50:$AJ$584,12,0)</f>
        <v>0</v>
      </c>
      <c r="AQ96" s="140">
        <f>VLOOKUP(AK96,'[3]17見直し計画'!$A$50:$AJ$584,13,0)</f>
        <v>0</v>
      </c>
      <c r="AR96" s="140">
        <f>VLOOKUP(AK96,'[3]17見直し計画'!$A$50:$AJ$584,14,0)</f>
        <v>0</v>
      </c>
      <c r="AS96" s="140"/>
      <c r="AT96" s="140">
        <f>VLOOKUP(AK96,'[3]17見直し計画'!$A$50:$AJ$584,35,0)</f>
        <v>0</v>
      </c>
      <c r="AU96" s="140">
        <f>VLOOKUP(AK96,'[3]17見直し計画'!$A$50:$AJ$584,36,0)</f>
        <v>0</v>
      </c>
    </row>
    <row r="97" spans="1:47" ht="105" hidden="1" customHeight="1">
      <c r="B97" s="118" t="s">
        <v>218</v>
      </c>
      <c r="C97" s="120" t="s">
        <v>135</v>
      </c>
      <c r="D97" s="120" t="s">
        <v>136</v>
      </c>
      <c r="E97">
        <f t="shared" si="24"/>
        <v>11</v>
      </c>
      <c r="F97" s="122">
        <v>11</v>
      </c>
      <c r="G97" s="123">
        <v>11</v>
      </c>
      <c r="H97" s="124">
        <v>2200186</v>
      </c>
      <c r="I97" s="125"/>
      <c r="J97" s="124" t="s">
        <v>219</v>
      </c>
      <c r="K97" s="124" t="s">
        <v>195</v>
      </c>
      <c r="L97" s="126"/>
      <c r="M97" s="126"/>
      <c r="N97" s="127" t="s">
        <v>138</v>
      </c>
      <c r="O97" s="128" t="s">
        <v>139</v>
      </c>
      <c r="P97" s="126" t="s">
        <v>122</v>
      </c>
      <c r="Q97" s="129" t="s">
        <v>220</v>
      </c>
      <c r="R97" s="130" t="s">
        <v>221</v>
      </c>
      <c r="S97" s="131" t="s">
        <v>125</v>
      </c>
      <c r="T97" s="132">
        <v>40269</v>
      </c>
      <c r="U97" s="133" t="s">
        <v>222</v>
      </c>
      <c r="V97" s="134" t="s">
        <v>223</v>
      </c>
      <c r="W97" s="118" t="s">
        <v>224</v>
      </c>
      <c r="X97" s="135">
        <v>243129600</v>
      </c>
      <c r="Y97" s="135">
        <v>243129600</v>
      </c>
      <c r="Z97" s="136">
        <v>1</v>
      </c>
      <c r="AA97" s="127"/>
      <c r="AB97" s="127"/>
      <c r="AC97" s="127" t="s">
        <v>129</v>
      </c>
      <c r="AD97" s="137" t="s">
        <v>146</v>
      </c>
      <c r="AE97" s="138"/>
      <c r="AF97" s="125"/>
      <c r="AG97" s="117" t="s">
        <v>131</v>
      </c>
      <c r="AH97" s="139" t="s">
        <v>132</v>
      </c>
      <c r="AJ97" s="120" t="s">
        <v>156</v>
      </c>
      <c r="AK97" s="178" t="s">
        <v>147</v>
      </c>
      <c r="AL97" s="140" t="str">
        <f>VLOOKUP(AK97,'[3]17見直し計画'!$A$50:$AJ$584,6,0)</f>
        <v>　見直し計画策定以降の新規案件</v>
      </c>
      <c r="AM97" s="140">
        <f>VLOOKUP(AK97,'[3]17見直し計画'!$A$50:$AJ$584,8,0)</f>
        <v>0</v>
      </c>
      <c r="AN97" s="140">
        <f>VLOOKUP(AK97,'[3]17見直し計画'!$A$50:$AJ$584,10,0)</f>
        <v>0</v>
      </c>
      <c r="AO97" s="141">
        <f>VLOOKUP(AK97,'[3]17見直し計画'!$A$50:$AJ$584,11,0)</f>
        <v>0</v>
      </c>
      <c r="AP97" s="140">
        <f>VLOOKUP(AK97,'[3]17見直し計画'!$A$50:$AJ$584,12,0)</f>
        <v>0</v>
      </c>
      <c r="AQ97" s="140">
        <f>VLOOKUP(AK97,'[3]17見直し計画'!$A$50:$AJ$584,13,0)</f>
        <v>0</v>
      </c>
      <c r="AR97" s="140">
        <f>VLOOKUP(AK97,'[3]17見直し計画'!$A$50:$AJ$584,14,0)</f>
        <v>0</v>
      </c>
      <c r="AS97" s="140"/>
      <c r="AT97" s="140">
        <f>VLOOKUP(AK97,'[3]17見直し計画'!$A$50:$AJ$584,35,0)</f>
        <v>0</v>
      </c>
      <c r="AU97" s="140">
        <f>VLOOKUP(AK97,'[3]17見直し計画'!$A$50:$AJ$584,36,0)</f>
        <v>0</v>
      </c>
    </row>
    <row r="98" spans="1:47" ht="105" hidden="1" customHeight="1">
      <c r="B98" s="181" t="s">
        <v>225</v>
      </c>
      <c r="C98" s="182" t="s">
        <v>226</v>
      </c>
      <c r="D98" s="183" t="s">
        <v>227</v>
      </c>
      <c r="E98" s="184">
        <f t="shared" si="24"/>
        <v>12</v>
      </c>
      <c r="F98" s="185">
        <v>12</v>
      </c>
      <c r="G98" s="186">
        <v>12</v>
      </c>
      <c r="H98" s="187">
        <v>2200455</v>
      </c>
      <c r="I98" s="188"/>
      <c r="J98" s="187" t="s">
        <v>228</v>
      </c>
      <c r="K98" s="187" t="s">
        <v>229</v>
      </c>
      <c r="L98" s="189"/>
      <c r="M98" s="189"/>
      <c r="N98" s="190" t="s">
        <v>230</v>
      </c>
      <c r="O98" s="191" t="s">
        <v>139</v>
      </c>
      <c r="P98" s="189" t="s">
        <v>231</v>
      </c>
      <c r="Q98" s="192" t="s">
        <v>232</v>
      </c>
      <c r="R98" s="193" t="s">
        <v>233</v>
      </c>
      <c r="S98" s="194" t="s">
        <v>125</v>
      </c>
      <c r="T98" s="195">
        <v>40269</v>
      </c>
      <c r="U98" s="196" t="s">
        <v>234</v>
      </c>
      <c r="V98" s="197" t="s">
        <v>235</v>
      </c>
      <c r="W98" s="181" t="s">
        <v>236</v>
      </c>
      <c r="X98" s="198">
        <v>224200000</v>
      </c>
      <c r="Y98" s="198">
        <v>224175000</v>
      </c>
      <c r="Z98" s="199">
        <v>0.999</v>
      </c>
      <c r="AA98" s="190"/>
      <c r="AB98" s="190"/>
      <c r="AC98" s="190">
        <v>14</v>
      </c>
      <c r="AD98" s="200" t="s">
        <v>237</v>
      </c>
      <c r="AE98" s="201"/>
      <c r="AF98" s="188"/>
      <c r="AG98" s="202" t="s">
        <v>131</v>
      </c>
      <c r="AH98" s="203" t="s">
        <v>238</v>
      </c>
      <c r="AI98" s="184"/>
      <c r="AJ98" s="182"/>
      <c r="AK98" s="182" t="s">
        <v>239</v>
      </c>
      <c r="AL98" s="204" t="str">
        <f>VLOOKUP(AK98,'[3]17見直し計画'!$A$50:$AJ$584,6,0)</f>
        <v>株式会社　博報堂</v>
      </c>
      <c r="AM98" s="204" t="str">
        <f>VLOOKUP(AK98,'[3]17見直し計画'!$A$50:$AJ$584,8,0)</f>
        <v>ＯＤＡ広報ＴＶ番組の制作・放映</v>
      </c>
      <c r="AN98" s="204">
        <f>VLOOKUP(AK98,'[3]17見直し計画'!$A$50:$AJ$584,10,0)</f>
        <v>38443</v>
      </c>
      <c r="AO98" s="205">
        <f>VLOOKUP(AK98,'[3]17見直し計画'!$A$50:$AJ$584,11,0)</f>
        <v>199332000</v>
      </c>
      <c r="AP98" s="204" t="str">
        <f>VLOOKUP(AK98,'[3]17見直し計画'!$A$50:$AJ$584,12,0)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特例政令に該当）。</v>
      </c>
      <c r="AQ98" s="204" t="str">
        <f>VLOOKUP(AK98,'[3]17見直し計画'!$A$50:$AJ$584,13,0)</f>
        <v>見直しの余地があるもの</v>
      </c>
      <c r="AR98" s="204" t="str">
        <f>VLOOKUP(AK98,'[3]17見直し計画'!$A$50:$AJ$584,14,0)</f>
        <v>企画招請を実施（１８年度以降も引き続き実施）</v>
      </c>
      <c r="AS98" s="204"/>
      <c r="AT98" s="204">
        <f>VLOOKUP(AK98,'[3]17見直し計画'!$A$50:$AJ$584,35,0)</f>
        <v>0</v>
      </c>
      <c r="AU98" s="204">
        <f>VLOOKUP(AK98,'[3]17見直し計画'!$A$50:$AJ$584,36,0)</f>
        <v>0</v>
      </c>
    </row>
    <row r="99" spans="1:47" ht="105" hidden="1" customHeight="1">
      <c r="B99" s="118" t="s">
        <v>149</v>
      </c>
      <c r="C99" s="120" t="s">
        <v>117</v>
      </c>
      <c r="D99" s="121" t="s">
        <v>118</v>
      </c>
      <c r="E99">
        <f t="shared" si="24"/>
        <v>13</v>
      </c>
      <c r="F99" s="122">
        <v>13</v>
      </c>
      <c r="G99" s="123">
        <v>13</v>
      </c>
      <c r="H99" s="124">
        <v>2200414</v>
      </c>
      <c r="I99" s="125"/>
      <c r="J99" s="124" t="s">
        <v>240</v>
      </c>
      <c r="K99" s="124" t="s">
        <v>195</v>
      </c>
      <c r="L99" s="126"/>
      <c r="M99" s="126"/>
      <c r="N99" s="127" t="s">
        <v>138</v>
      </c>
      <c r="O99" s="128" t="s">
        <v>139</v>
      </c>
      <c r="P99" s="126" t="s">
        <v>122</v>
      </c>
      <c r="Q99" s="129" t="s">
        <v>241</v>
      </c>
      <c r="R99" s="130" t="s">
        <v>203</v>
      </c>
      <c r="S99" s="131" t="s">
        <v>125</v>
      </c>
      <c r="T99" s="132">
        <v>40269</v>
      </c>
      <c r="U99" s="133" t="s">
        <v>242</v>
      </c>
      <c r="V99" s="134" t="s">
        <v>243</v>
      </c>
      <c r="W99" s="118" t="s">
        <v>191</v>
      </c>
      <c r="X99" s="135">
        <v>215143140</v>
      </c>
      <c r="Y99" s="135">
        <v>215143140</v>
      </c>
      <c r="Z99" s="136">
        <v>1</v>
      </c>
      <c r="AA99" s="127"/>
      <c r="AB99" s="127"/>
      <c r="AC99" s="127" t="s">
        <v>129</v>
      </c>
      <c r="AD99" s="137" t="s">
        <v>146</v>
      </c>
      <c r="AE99" s="138"/>
      <c r="AF99" s="125"/>
      <c r="AG99" s="117" t="s">
        <v>131</v>
      </c>
      <c r="AH99" s="139" t="s">
        <v>132</v>
      </c>
      <c r="AJ99" s="121" t="s">
        <v>244</v>
      </c>
      <c r="AK99" s="178" t="s">
        <v>205</v>
      </c>
      <c r="AL99" s="140" t="str">
        <f>VLOOKUP(AK99,'[3]17見直し計画'!$A$50:$AJ$584,6,0)</f>
        <v>富士通株式会社／センチュリー・リーシング・システム株式会社</v>
      </c>
      <c r="AM99" s="140" t="str">
        <f>VLOOKUP(AK99,'[3]17見直し計画'!$A$50:$AJ$584,8,0)</f>
        <v>「通信用サーバ機器」一式の賃貸借・保守</v>
      </c>
      <c r="AN99" s="150">
        <f>VLOOKUP(AK99,'[3]17見直し計画'!$A$50:$AJ$584,10,0)</f>
        <v>38443</v>
      </c>
      <c r="AO99" s="141">
        <f>VLOOKUP(AK99,'[3]17見直し計画'!$A$50:$AJ$584,11,0)</f>
        <v>441000000</v>
      </c>
      <c r="AP99" s="140" t="str">
        <f>VLOOKUP(AK99,'[3]17見直し計画'!$A$50:$AJ$584,12,0)</f>
        <v>平成１５年度に一般競争入札（賃貸期間４８ヶ月。但し契約自体は単年度）で導入した通信用サーバ一式の継続契約（会計法第２９条の３第４項、特例政令に該当）。</v>
      </c>
      <c r="AQ99" s="140" t="str">
        <f>VLOOKUP(AK99,'[3]17見直し計画'!$A$50:$AJ$584,13,0)</f>
        <v>見直しの余地があるもの</v>
      </c>
      <c r="AR99" s="140" t="str">
        <f>VLOOKUP(AK99,'[3]17見直し計画'!$A$50:$AJ$584,14,0)</f>
        <v>競争入札へ移行（１９年度末に入札実施の上、国庫債務負担行為を適用し、複数年度契約を締結予定）</v>
      </c>
      <c r="AS99" s="140"/>
      <c r="AT99" s="140">
        <f>VLOOKUP(AK99,'[3]17見直し計画'!$A$50:$AJ$584,35,0)</f>
        <v>0</v>
      </c>
      <c r="AU99" s="140">
        <f>VLOOKUP(AK99,'[3]17見直し計画'!$A$50:$AJ$584,36,0)</f>
        <v>0</v>
      </c>
    </row>
    <row r="100" spans="1:47" ht="105" hidden="1" customHeight="1">
      <c r="B100" s="206" t="s">
        <v>245</v>
      </c>
      <c r="C100" s="143" t="s">
        <v>246</v>
      </c>
      <c r="D100" s="143" t="s">
        <v>247</v>
      </c>
      <c r="E100">
        <f t="shared" si="24"/>
        <v>14</v>
      </c>
      <c r="F100" s="122">
        <v>14</v>
      </c>
      <c r="G100" s="123">
        <v>14</v>
      </c>
      <c r="H100" s="124">
        <v>2200308</v>
      </c>
      <c r="I100" s="125"/>
      <c r="J100" s="124"/>
      <c r="K100" s="124" t="s">
        <v>207</v>
      </c>
      <c r="L100" s="126"/>
      <c r="M100" s="126"/>
      <c r="N100" s="127" t="s">
        <v>186</v>
      </c>
      <c r="O100" s="128" t="s">
        <v>187</v>
      </c>
      <c r="P100" s="126" t="s">
        <v>122</v>
      </c>
      <c r="Q100" s="129" t="s">
        <v>248</v>
      </c>
      <c r="R100" s="130" t="s">
        <v>249</v>
      </c>
      <c r="S100" s="131" t="s">
        <v>125</v>
      </c>
      <c r="T100" s="132">
        <v>40269</v>
      </c>
      <c r="U100" s="133" t="s">
        <v>210</v>
      </c>
      <c r="V100" s="134" t="s">
        <v>211</v>
      </c>
      <c r="W100" s="118" t="s">
        <v>212</v>
      </c>
      <c r="X100" s="135">
        <v>163381174</v>
      </c>
      <c r="Y100" s="135">
        <v>163381174</v>
      </c>
      <c r="Z100" s="136">
        <v>1</v>
      </c>
      <c r="AA100" s="127"/>
      <c r="AB100" s="127"/>
      <c r="AC100" s="127" t="s">
        <v>129</v>
      </c>
      <c r="AD100" s="137" t="s">
        <v>192</v>
      </c>
      <c r="AE100" s="138"/>
      <c r="AF100" s="125"/>
      <c r="AG100" s="117" t="s">
        <v>131</v>
      </c>
      <c r="AH100" s="139" t="s">
        <v>132</v>
      </c>
      <c r="AJ100" s="120"/>
      <c r="AK100" s="178" t="s">
        <v>147</v>
      </c>
      <c r="AL100" s="140" t="str">
        <f>VLOOKUP(AK100,'[3]17見直し計画'!$A$50:$AJ$584,6,0)</f>
        <v>　見直し計画策定以降の新規案件</v>
      </c>
      <c r="AM100" s="140">
        <f>VLOOKUP(AK100,'[3]17見直し計画'!$A$50:$AJ$584,8,0)</f>
        <v>0</v>
      </c>
      <c r="AN100" s="140">
        <f>VLOOKUP(AK100,'[3]17見直し計画'!$A$50:$AJ$584,10,0)</f>
        <v>0</v>
      </c>
      <c r="AO100" s="141">
        <f>VLOOKUP(AK100,'[3]17見直し計画'!$A$50:$AJ$584,11,0)</f>
        <v>0</v>
      </c>
      <c r="AP100" s="140">
        <f>VLOOKUP(AK100,'[3]17見直し計画'!$A$50:$AJ$584,12,0)</f>
        <v>0</v>
      </c>
      <c r="AQ100" s="140">
        <f>VLOOKUP(AK100,'[3]17見直し計画'!$A$50:$AJ$584,13,0)</f>
        <v>0</v>
      </c>
      <c r="AR100" s="140">
        <f>VLOOKUP(AK100,'[3]17見直し計画'!$A$50:$AJ$584,14,0)</f>
        <v>0</v>
      </c>
      <c r="AS100" s="140"/>
      <c r="AT100" s="140">
        <f>VLOOKUP(AK100,'[3]17見直し計画'!$A$50:$AJ$584,35,0)</f>
        <v>0</v>
      </c>
      <c r="AU100" s="140">
        <f>VLOOKUP(AK100,'[3]17見直し計画'!$A$50:$AJ$584,36,0)</f>
        <v>0</v>
      </c>
    </row>
    <row r="101" spans="1:47" ht="105" hidden="1" customHeight="1">
      <c r="B101" s="118" t="s">
        <v>193</v>
      </c>
      <c r="C101" s="117" t="s">
        <v>135</v>
      </c>
      <c r="D101" s="117" t="s">
        <v>136</v>
      </c>
      <c r="E101">
        <f t="shared" si="24"/>
        <v>15</v>
      </c>
      <c r="F101" s="122">
        <v>15</v>
      </c>
      <c r="G101" s="123">
        <v>15</v>
      </c>
      <c r="H101" s="124">
        <v>2200265</v>
      </c>
      <c r="I101" s="125"/>
      <c r="J101" s="124" t="s">
        <v>250</v>
      </c>
      <c r="K101" s="124" t="s">
        <v>195</v>
      </c>
      <c r="L101" s="126"/>
      <c r="M101" s="126"/>
      <c r="N101" s="127" t="s">
        <v>138</v>
      </c>
      <c r="O101" s="128" t="s">
        <v>139</v>
      </c>
      <c r="P101" s="126" t="s">
        <v>122</v>
      </c>
      <c r="Q101" s="129" t="s">
        <v>251</v>
      </c>
      <c r="R101" s="130" t="s">
        <v>252</v>
      </c>
      <c r="S101" s="131" t="s">
        <v>125</v>
      </c>
      <c r="T101" s="132">
        <v>40269</v>
      </c>
      <c r="U101" s="133" t="s">
        <v>242</v>
      </c>
      <c r="V101" s="134" t="s">
        <v>154</v>
      </c>
      <c r="W101" s="118" t="s">
        <v>191</v>
      </c>
      <c r="X101" s="135">
        <v>145682088</v>
      </c>
      <c r="Y101" s="135">
        <v>145682088</v>
      </c>
      <c r="Z101" s="136">
        <v>1</v>
      </c>
      <c r="AA101" s="127"/>
      <c r="AB101" s="127"/>
      <c r="AC101" s="127" t="s">
        <v>129</v>
      </c>
      <c r="AD101" s="137" t="s">
        <v>146</v>
      </c>
      <c r="AE101" s="138"/>
      <c r="AF101" s="125"/>
      <c r="AG101" s="117" t="s">
        <v>131</v>
      </c>
      <c r="AH101" s="139" t="s">
        <v>132</v>
      </c>
      <c r="AJ101" s="120" t="s">
        <v>156</v>
      </c>
      <c r="AK101" s="178" t="s">
        <v>147</v>
      </c>
      <c r="AL101" s="140" t="str">
        <f>VLOOKUP(AK101,'[3]17見直し計画'!$A$50:$AJ$584,6,0)</f>
        <v>　見直し計画策定以降の新規案件</v>
      </c>
      <c r="AM101" s="140">
        <f>VLOOKUP(AK101,'[3]17見直し計画'!$A$50:$AJ$584,8,0)</f>
        <v>0</v>
      </c>
      <c r="AN101" s="140">
        <f>VLOOKUP(AK101,'[3]17見直し計画'!$A$50:$AJ$584,10,0)</f>
        <v>0</v>
      </c>
      <c r="AO101" s="141">
        <f>VLOOKUP(AK101,'[3]17見直し計画'!$A$50:$AJ$584,11,0)</f>
        <v>0</v>
      </c>
      <c r="AP101" s="140">
        <f>VLOOKUP(AK101,'[3]17見直し計画'!$A$50:$AJ$584,12,0)</f>
        <v>0</v>
      </c>
      <c r="AQ101" s="140">
        <f>VLOOKUP(AK101,'[3]17見直し計画'!$A$50:$AJ$584,13,0)</f>
        <v>0</v>
      </c>
      <c r="AR101" s="140">
        <f>VLOOKUP(AK101,'[3]17見直し計画'!$A$50:$AJ$584,14,0)</f>
        <v>0</v>
      </c>
      <c r="AS101" s="140"/>
      <c r="AT101" s="140">
        <f>VLOOKUP(AK101,'[3]17見直し計画'!$A$50:$AJ$584,35,0)</f>
        <v>0</v>
      </c>
      <c r="AU101" s="140">
        <f>VLOOKUP(AK101,'[3]17見直し計画'!$A$50:$AJ$584,36,0)</f>
        <v>0</v>
      </c>
    </row>
    <row r="102" spans="1:47" ht="105" hidden="1" customHeight="1">
      <c r="B102" s="118" t="s">
        <v>193</v>
      </c>
      <c r="C102" s="120" t="s">
        <v>135</v>
      </c>
      <c r="D102" s="120" t="s">
        <v>136</v>
      </c>
      <c r="E102">
        <f t="shared" si="24"/>
        <v>16</v>
      </c>
      <c r="F102" s="122">
        <v>16</v>
      </c>
      <c r="G102" s="123">
        <v>16</v>
      </c>
      <c r="H102" s="124">
        <v>2200212</v>
      </c>
      <c r="I102" s="125"/>
      <c r="J102" s="124" t="s">
        <v>253</v>
      </c>
      <c r="K102" s="124" t="s">
        <v>195</v>
      </c>
      <c r="L102" s="126"/>
      <c r="M102" s="126"/>
      <c r="N102" s="127" t="s">
        <v>138</v>
      </c>
      <c r="O102" s="128" t="s">
        <v>139</v>
      </c>
      <c r="P102" s="126" t="s">
        <v>122</v>
      </c>
      <c r="Q102" s="129" t="s">
        <v>254</v>
      </c>
      <c r="R102" s="130" t="s">
        <v>197</v>
      </c>
      <c r="S102" s="131" t="s">
        <v>125</v>
      </c>
      <c r="T102" s="132">
        <v>40269</v>
      </c>
      <c r="U102" s="133" t="s">
        <v>198</v>
      </c>
      <c r="V102" s="134" t="s">
        <v>199</v>
      </c>
      <c r="W102" s="118" t="s">
        <v>191</v>
      </c>
      <c r="X102" s="135">
        <v>145283040</v>
      </c>
      <c r="Y102" s="135">
        <v>145283040</v>
      </c>
      <c r="Z102" s="136">
        <v>1</v>
      </c>
      <c r="AA102" s="127"/>
      <c r="AB102" s="127"/>
      <c r="AC102" s="127" t="s">
        <v>129</v>
      </c>
      <c r="AD102" s="137" t="s">
        <v>146</v>
      </c>
      <c r="AE102" s="138"/>
      <c r="AF102" s="125"/>
      <c r="AG102" s="117" t="s">
        <v>131</v>
      </c>
      <c r="AH102" s="139" t="s">
        <v>132</v>
      </c>
      <c r="AI102" s="177"/>
      <c r="AJ102" s="121" t="s">
        <v>244</v>
      </c>
      <c r="AK102" s="178" t="s">
        <v>147</v>
      </c>
      <c r="AL102" s="140" t="str">
        <f>VLOOKUP(AK102,'[3]17見直し計画'!$A$50:$AJ$584,6,0)</f>
        <v>　見直し計画策定以降の新規案件</v>
      </c>
      <c r="AM102" s="140">
        <f>VLOOKUP(AK102,'[3]17見直し計画'!$A$50:$AJ$584,8,0)</f>
        <v>0</v>
      </c>
      <c r="AN102" s="140">
        <f>VLOOKUP(AK102,'[3]17見直し計画'!$A$50:$AJ$584,10,0)</f>
        <v>0</v>
      </c>
      <c r="AO102" s="141">
        <f>VLOOKUP(AK102,'[3]17見直し計画'!$A$50:$AJ$584,11,0)</f>
        <v>0</v>
      </c>
      <c r="AP102" s="140">
        <f>VLOOKUP(AK102,'[3]17見直し計画'!$A$50:$AJ$584,12,0)</f>
        <v>0</v>
      </c>
      <c r="AQ102" s="140">
        <f>VLOOKUP(AK102,'[3]17見直し計画'!$A$50:$AJ$584,13,0)</f>
        <v>0</v>
      </c>
      <c r="AR102" s="140">
        <f>VLOOKUP(AK102,'[3]17見直し計画'!$A$50:$AJ$584,14,0)</f>
        <v>0</v>
      </c>
      <c r="AS102" s="140"/>
      <c r="AT102" s="140">
        <f>VLOOKUP(AK102,'[3]17見直し計画'!$A$50:$AJ$584,35,0)</f>
        <v>0</v>
      </c>
      <c r="AU102" s="140">
        <f>VLOOKUP(AK102,'[3]17見直し計画'!$A$50:$AJ$584,36,0)</f>
        <v>0</v>
      </c>
    </row>
    <row r="103" spans="1:47" ht="105" hidden="1" customHeight="1">
      <c r="B103" s="118" t="s">
        <v>116</v>
      </c>
      <c r="C103" s="207" t="s">
        <v>255</v>
      </c>
      <c r="D103" s="207" t="s">
        <v>256</v>
      </c>
      <c r="E103">
        <f t="shared" si="24"/>
        <v>17</v>
      </c>
      <c r="F103" s="122">
        <v>17</v>
      </c>
      <c r="G103" s="123">
        <v>17</v>
      </c>
      <c r="H103" s="124">
        <v>2200182</v>
      </c>
      <c r="I103" s="125"/>
      <c r="J103" s="124" t="s">
        <v>257</v>
      </c>
      <c r="K103" s="124" t="s">
        <v>258</v>
      </c>
      <c r="L103" s="126"/>
      <c r="M103" s="126"/>
      <c r="N103" s="127" t="s">
        <v>120</v>
      </c>
      <c r="O103" s="128" t="s">
        <v>121</v>
      </c>
      <c r="P103" s="126" t="s">
        <v>122</v>
      </c>
      <c r="Q103" s="129" t="s">
        <v>259</v>
      </c>
      <c r="R103" s="130" t="s">
        <v>260</v>
      </c>
      <c r="S103" s="131" t="s">
        <v>125</v>
      </c>
      <c r="T103" s="132">
        <v>40269</v>
      </c>
      <c r="U103" s="133" t="s">
        <v>261</v>
      </c>
      <c r="V103" s="134" t="s">
        <v>262</v>
      </c>
      <c r="W103" s="118" t="s">
        <v>191</v>
      </c>
      <c r="X103" s="135">
        <v>140193794</v>
      </c>
      <c r="Y103" s="135">
        <v>140193794</v>
      </c>
      <c r="Z103" s="136">
        <v>1</v>
      </c>
      <c r="AA103" s="127">
        <v>0</v>
      </c>
      <c r="AB103" s="127"/>
      <c r="AC103" s="127" t="s">
        <v>129</v>
      </c>
      <c r="AD103" s="137" t="s">
        <v>130</v>
      </c>
      <c r="AE103" s="138"/>
      <c r="AF103" s="125"/>
      <c r="AG103" s="117" t="s">
        <v>131</v>
      </c>
      <c r="AH103" s="139" t="s">
        <v>132</v>
      </c>
      <c r="AJ103" s="208" t="s">
        <v>263</v>
      </c>
      <c r="AK103" s="178" t="s">
        <v>147</v>
      </c>
      <c r="AL103" s="140" t="str">
        <f>VLOOKUP(AK103,'[3]17見直し計画'!$A$50:$AJ$584,6,0)</f>
        <v>　見直し計画策定以降の新規案件</v>
      </c>
      <c r="AM103" s="140">
        <f>VLOOKUP(AK103,'[3]17見直し計画'!$A$50:$AJ$584,8,0)</f>
        <v>0</v>
      </c>
      <c r="AN103" s="140">
        <f>VLOOKUP(AK103,'[3]17見直し計画'!$A$50:$AJ$584,10,0)</f>
        <v>0</v>
      </c>
      <c r="AO103" s="141">
        <f>VLOOKUP(AK103,'[3]17見直し計画'!$A$50:$AJ$584,11,0)</f>
        <v>0</v>
      </c>
      <c r="AP103" s="140">
        <f>VLOOKUP(AK103,'[3]17見直し計画'!$A$50:$AJ$584,12,0)</f>
        <v>0</v>
      </c>
      <c r="AQ103" s="140">
        <f>VLOOKUP(AK103,'[3]17見直し計画'!$A$50:$AJ$584,13,0)</f>
        <v>0</v>
      </c>
      <c r="AR103" s="140">
        <f>VLOOKUP(AK103,'[3]17見直し計画'!$A$50:$AJ$584,14,0)</f>
        <v>0</v>
      </c>
      <c r="AS103" s="140"/>
      <c r="AT103" s="140">
        <f>VLOOKUP(AK103,'[3]17見直し計画'!$A$50:$AJ$584,35,0)</f>
        <v>0</v>
      </c>
      <c r="AU103" s="140">
        <f>VLOOKUP(AK103,'[3]17見直し計画'!$A$50:$AJ$584,36,0)</f>
        <v>0</v>
      </c>
    </row>
    <row r="104" spans="1:47" ht="105" hidden="1" customHeight="1">
      <c r="B104" s="151"/>
      <c r="C104" s="209"/>
      <c r="D104" s="152" t="s">
        <v>264</v>
      </c>
      <c r="E104" s="154">
        <f t="shared" si="24"/>
        <v>18</v>
      </c>
      <c r="F104" s="155">
        <v>18</v>
      </c>
      <c r="G104" s="156">
        <v>18</v>
      </c>
      <c r="H104" s="157">
        <v>2200133</v>
      </c>
      <c r="I104" s="158"/>
      <c r="J104" s="157" t="s">
        <v>265</v>
      </c>
      <c r="K104" s="157" t="s">
        <v>195</v>
      </c>
      <c r="L104" s="159"/>
      <c r="M104" s="159"/>
      <c r="N104" s="160" t="s">
        <v>266</v>
      </c>
      <c r="O104" s="161" t="s">
        <v>139</v>
      </c>
      <c r="P104" s="159" t="s">
        <v>163</v>
      </c>
      <c r="Q104" s="162" t="s">
        <v>267</v>
      </c>
      <c r="R104" s="163" t="s">
        <v>268</v>
      </c>
      <c r="S104" s="164" t="s">
        <v>125</v>
      </c>
      <c r="T104" s="165">
        <v>40269</v>
      </c>
      <c r="U104" s="166" t="s">
        <v>269</v>
      </c>
      <c r="V104" s="167" t="s">
        <v>270</v>
      </c>
      <c r="W104" s="151" t="s">
        <v>168</v>
      </c>
      <c r="X104" s="168">
        <v>119070000</v>
      </c>
      <c r="Y104" s="168">
        <v>119070000</v>
      </c>
      <c r="Z104" s="169">
        <v>1</v>
      </c>
      <c r="AA104" s="160"/>
      <c r="AB104" s="160"/>
      <c r="AC104" s="160" t="s">
        <v>169</v>
      </c>
      <c r="AD104" s="170" t="s">
        <v>271</v>
      </c>
      <c r="AE104" s="171"/>
      <c r="AF104" s="158"/>
      <c r="AG104" s="172" t="s">
        <v>131</v>
      </c>
      <c r="AH104" s="173" t="s">
        <v>171</v>
      </c>
      <c r="AI104" s="154"/>
      <c r="AJ104" s="152" t="s">
        <v>156</v>
      </c>
      <c r="AK104" s="152" t="s">
        <v>147</v>
      </c>
      <c r="AL104" s="174" t="str">
        <f>VLOOKUP(AK104,'[3]17見直し計画'!$A$50:$AJ$584,6,0)</f>
        <v>　見直し計画策定以降の新規案件</v>
      </c>
      <c r="AM104" s="174">
        <f>VLOOKUP(AK104,'[3]17見直し計画'!$A$50:$AJ$584,8,0)</f>
        <v>0</v>
      </c>
      <c r="AN104" s="174">
        <f>VLOOKUP(AK104,'[3]17見直し計画'!$A$50:$AJ$584,10,0)</f>
        <v>0</v>
      </c>
      <c r="AO104" s="175">
        <f>VLOOKUP(AK104,'[3]17見直し計画'!$A$50:$AJ$584,11,0)</f>
        <v>0</v>
      </c>
      <c r="AP104" s="174">
        <f>VLOOKUP(AK104,'[3]17見直し計画'!$A$50:$AJ$584,12,0)</f>
        <v>0</v>
      </c>
      <c r="AQ104" s="174">
        <f>VLOOKUP(AK104,'[3]17見直し計画'!$A$50:$AJ$584,13,0)</f>
        <v>0</v>
      </c>
      <c r="AR104" s="174">
        <f>VLOOKUP(AK104,'[3]17見直し計画'!$A$50:$AJ$584,14,0)</f>
        <v>0</v>
      </c>
      <c r="AS104" s="174"/>
      <c r="AT104" s="174">
        <f>VLOOKUP(AK104,'[3]17見直し計画'!$A$50:$AJ$584,35,0)</f>
        <v>0</v>
      </c>
      <c r="AU104" s="174">
        <f>VLOOKUP(AK104,'[3]17見直し計画'!$A$50:$AJ$584,36,0)</f>
        <v>0</v>
      </c>
    </row>
    <row r="105" spans="1:47" ht="105" hidden="1" customHeight="1">
      <c r="B105" s="118" t="s">
        <v>193</v>
      </c>
      <c r="C105" s="120" t="s">
        <v>135</v>
      </c>
      <c r="D105" s="120" t="s">
        <v>136</v>
      </c>
      <c r="E105">
        <f t="shared" si="24"/>
        <v>19</v>
      </c>
      <c r="F105" s="122">
        <v>19</v>
      </c>
      <c r="G105" s="123">
        <v>19</v>
      </c>
      <c r="H105" s="124">
        <v>2200092</v>
      </c>
      <c r="I105" s="125"/>
      <c r="J105" s="126" t="s">
        <v>272</v>
      </c>
      <c r="K105" s="124" t="s">
        <v>137</v>
      </c>
      <c r="L105" s="126"/>
      <c r="M105" s="126"/>
      <c r="N105" s="127" t="s">
        <v>138</v>
      </c>
      <c r="O105" s="128" t="s">
        <v>139</v>
      </c>
      <c r="P105" s="126" t="s">
        <v>122</v>
      </c>
      <c r="Q105" s="129" t="s">
        <v>273</v>
      </c>
      <c r="R105" s="130" t="s">
        <v>274</v>
      </c>
      <c r="S105" s="131" t="s">
        <v>125</v>
      </c>
      <c r="T105" s="132">
        <v>40269</v>
      </c>
      <c r="U105" s="133" t="s">
        <v>242</v>
      </c>
      <c r="V105" s="134" t="s">
        <v>243</v>
      </c>
      <c r="W105" s="118" t="s">
        <v>191</v>
      </c>
      <c r="X105" s="135">
        <v>116507412</v>
      </c>
      <c r="Y105" s="135">
        <v>116507412</v>
      </c>
      <c r="Z105" s="136">
        <v>1</v>
      </c>
      <c r="AA105" s="127"/>
      <c r="AB105" s="127"/>
      <c r="AC105" s="127" t="s">
        <v>129</v>
      </c>
      <c r="AD105" s="137" t="s">
        <v>146</v>
      </c>
      <c r="AE105" s="138"/>
      <c r="AF105" s="125"/>
      <c r="AG105" s="117" t="s">
        <v>131</v>
      </c>
      <c r="AH105" s="139" t="s">
        <v>132</v>
      </c>
      <c r="AJ105" s="178" t="s">
        <v>156</v>
      </c>
      <c r="AK105" s="178" t="s">
        <v>147</v>
      </c>
      <c r="AL105" s="140" t="str">
        <f>VLOOKUP(AK105,'[3]17見直し計画'!$A$50:$AJ$584,6,0)</f>
        <v>　見直し計画策定以降の新規案件</v>
      </c>
      <c r="AM105" s="140">
        <f>VLOOKUP(AK105,'[3]17見直し計画'!$A$50:$AJ$584,8,0)</f>
        <v>0</v>
      </c>
      <c r="AN105" s="140">
        <f>VLOOKUP(AK105,'[3]17見直し計画'!$A$50:$AJ$584,10,0)</f>
        <v>0</v>
      </c>
      <c r="AO105" s="141">
        <f>VLOOKUP(AK105,'[3]17見直し計画'!$A$50:$AJ$584,11,0)</f>
        <v>0</v>
      </c>
      <c r="AP105" s="140">
        <f>VLOOKUP(AK105,'[3]17見直し計画'!$A$50:$AJ$584,12,0)</f>
        <v>0</v>
      </c>
      <c r="AQ105" s="140">
        <f>VLOOKUP(AK105,'[3]17見直し計画'!$A$50:$AJ$584,13,0)</f>
        <v>0</v>
      </c>
      <c r="AR105" s="140">
        <f>VLOOKUP(AK105,'[3]17見直し計画'!$A$50:$AJ$584,14,0)</f>
        <v>0</v>
      </c>
      <c r="AS105" s="140"/>
      <c r="AT105" s="140">
        <f>VLOOKUP(AK105,'[3]17見直し計画'!$A$50:$AJ$584,35,0)</f>
        <v>0</v>
      </c>
      <c r="AU105" s="140">
        <f>VLOOKUP(AK105,'[3]17見直し計画'!$A$50:$AJ$584,36,0)</f>
        <v>0</v>
      </c>
    </row>
    <row r="106" spans="1:47" ht="105" hidden="1" customHeight="1">
      <c r="B106" s="181"/>
      <c r="C106" s="182"/>
      <c r="D106" s="182" t="s">
        <v>264</v>
      </c>
      <c r="E106" s="184">
        <f t="shared" si="24"/>
        <v>20</v>
      </c>
      <c r="F106" s="185">
        <v>20</v>
      </c>
      <c r="G106" s="186">
        <v>20</v>
      </c>
      <c r="H106" s="187">
        <v>2200517</v>
      </c>
      <c r="I106" s="188"/>
      <c r="J106" s="187" t="s">
        <v>275</v>
      </c>
      <c r="K106" s="187" t="s">
        <v>276</v>
      </c>
      <c r="L106" s="189"/>
      <c r="M106" s="189"/>
      <c r="N106" s="190" t="s">
        <v>277</v>
      </c>
      <c r="O106" s="191" t="s">
        <v>121</v>
      </c>
      <c r="P106" s="189" t="s">
        <v>231</v>
      </c>
      <c r="Q106" s="192" t="s">
        <v>278</v>
      </c>
      <c r="R106" s="193" t="s">
        <v>279</v>
      </c>
      <c r="S106" s="194" t="s">
        <v>125</v>
      </c>
      <c r="T106" s="195">
        <v>40269</v>
      </c>
      <c r="U106" s="196" t="s">
        <v>280</v>
      </c>
      <c r="V106" s="197" t="s">
        <v>281</v>
      </c>
      <c r="W106" s="181" t="s">
        <v>282</v>
      </c>
      <c r="X106" s="198">
        <v>115661032</v>
      </c>
      <c r="Y106" s="198">
        <v>114886579</v>
      </c>
      <c r="Z106" s="199">
        <v>0.99299999999999999</v>
      </c>
      <c r="AA106" s="190">
        <v>1</v>
      </c>
      <c r="AB106" s="190"/>
      <c r="AC106" s="190">
        <v>1</v>
      </c>
      <c r="AD106" s="200" t="s">
        <v>283</v>
      </c>
      <c r="AE106" s="201"/>
      <c r="AF106" s="188"/>
      <c r="AG106" s="202" t="s">
        <v>131</v>
      </c>
      <c r="AH106" s="203" t="s">
        <v>171</v>
      </c>
      <c r="AI106" s="184"/>
      <c r="AJ106" s="182"/>
      <c r="AK106" s="182" t="s">
        <v>147</v>
      </c>
      <c r="AL106" s="204" t="str">
        <f>VLOOKUP(AK106,'[3]17見直し計画'!$A$50:$AJ$584,6,0)</f>
        <v>　見直し計画策定以降の新規案件</v>
      </c>
      <c r="AM106" s="204">
        <f>VLOOKUP(AK106,'[3]17見直し計画'!$A$50:$AJ$584,8,0)</f>
        <v>0</v>
      </c>
      <c r="AN106" s="204">
        <f>VLOOKUP(AK106,'[3]17見直し計画'!$A$50:$AJ$584,10,0)</f>
        <v>0</v>
      </c>
      <c r="AO106" s="205">
        <f>VLOOKUP(AK106,'[3]17見直し計画'!$A$50:$AJ$584,11,0)</f>
        <v>0</v>
      </c>
      <c r="AP106" s="204">
        <f>VLOOKUP(AK106,'[3]17見直し計画'!$A$50:$AJ$584,12,0)</f>
        <v>0</v>
      </c>
      <c r="AQ106" s="204">
        <f>VLOOKUP(AK106,'[3]17見直し計画'!$A$50:$AJ$584,13,0)</f>
        <v>0</v>
      </c>
      <c r="AR106" s="204">
        <f>VLOOKUP(AK106,'[3]17見直し計画'!$A$50:$AJ$584,14,0)</f>
        <v>0</v>
      </c>
      <c r="AS106" s="204"/>
      <c r="AT106" s="204">
        <f>VLOOKUP(AK106,'[3]17見直し計画'!$A$50:$AJ$584,35,0)</f>
        <v>0</v>
      </c>
      <c r="AU106" s="204">
        <f>VLOOKUP(AK106,'[3]17見直し計画'!$A$50:$AJ$584,36,0)</f>
        <v>0</v>
      </c>
    </row>
    <row r="107" spans="1:47" ht="105" hidden="1" customHeight="1">
      <c r="B107" s="118" t="s">
        <v>284</v>
      </c>
      <c r="C107" s="120" t="s">
        <v>135</v>
      </c>
      <c r="D107" s="120" t="s">
        <v>136</v>
      </c>
      <c r="E107">
        <f t="shared" si="24"/>
        <v>21</v>
      </c>
      <c r="F107" s="122">
        <v>21</v>
      </c>
      <c r="G107" s="123">
        <v>21</v>
      </c>
      <c r="H107" s="124">
        <v>2200177</v>
      </c>
      <c r="I107" s="125"/>
      <c r="J107" s="126" t="s">
        <v>285</v>
      </c>
      <c r="K107" s="124" t="s">
        <v>286</v>
      </c>
      <c r="L107" s="126"/>
      <c r="M107" s="126"/>
      <c r="N107" s="127" t="s">
        <v>138</v>
      </c>
      <c r="O107" s="128" t="s">
        <v>139</v>
      </c>
      <c r="P107" s="126" t="s">
        <v>122</v>
      </c>
      <c r="Q107" s="129" t="s">
        <v>287</v>
      </c>
      <c r="R107" s="130" t="s">
        <v>288</v>
      </c>
      <c r="S107" s="131" t="s">
        <v>125</v>
      </c>
      <c r="T107" s="132">
        <v>40269</v>
      </c>
      <c r="U107" s="133" t="s">
        <v>289</v>
      </c>
      <c r="V107" s="134" t="s">
        <v>290</v>
      </c>
      <c r="W107" s="118" t="s">
        <v>291</v>
      </c>
      <c r="X107" s="135" t="s">
        <v>129</v>
      </c>
      <c r="Y107" s="135">
        <v>98181925</v>
      </c>
      <c r="Z107" s="136" t="e">
        <v>#VALUE!</v>
      </c>
      <c r="AA107" s="127"/>
      <c r="AB107" s="127"/>
      <c r="AC107" s="127" t="s">
        <v>129</v>
      </c>
      <c r="AD107" s="137" t="s">
        <v>146</v>
      </c>
      <c r="AE107" s="138"/>
      <c r="AF107" s="125"/>
      <c r="AG107" s="117" t="s">
        <v>131</v>
      </c>
      <c r="AH107" s="139" t="s">
        <v>132</v>
      </c>
      <c r="AJ107" s="179" t="s">
        <v>292</v>
      </c>
      <c r="AK107" s="178" t="s">
        <v>147</v>
      </c>
      <c r="AL107" s="140" t="str">
        <f>VLOOKUP(AK107,'[3]17見直し計画'!$A$50:$AJ$584,6,0)</f>
        <v>　見直し計画策定以降の新規案件</v>
      </c>
      <c r="AM107" s="140">
        <f>VLOOKUP(AK107,'[3]17見直し計画'!$A$50:$AJ$584,8,0)</f>
        <v>0</v>
      </c>
      <c r="AN107" s="140">
        <f>VLOOKUP(AK107,'[3]17見直し計画'!$A$50:$AJ$584,10,0)</f>
        <v>0</v>
      </c>
      <c r="AO107" s="141">
        <f>VLOOKUP(AK107,'[3]17見直し計画'!$A$50:$AJ$584,11,0)</f>
        <v>0</v>
      </c>
      <c r="AP107" s="140">
        <f>VLOOKUP(AK107,'[3]17見直し計画'!$A$50:$AJ$584,12,0)</f>
        <v>0</v>
      </c>
      <c r="AQ107" s="140">
        <f>VLOOKUP(AK107,'[3]17見直し計画'!$A$50:$AJ$584,13,0)</f>
        <v>0</v>
      </c>
      <c r="AR107" s="140">
        <f>VLOOKUP(AK107,'[3]17見直し計画'!$A$50:$AJ$584,14,0)</f>
        <v>0</v>
      </c>
      <c r="AS107" s="140"/>
      <c r="AT107" s="140">
        <f>VLOOKUP(AK107,'[3]17見直し計画'!$A$50:$AJ$584,35,0)</f>
        <v>0</v>
      </c>
      <c r="AU107" s="140">
        <f>VLOOKUP(AK107,'[3]17見直し計画'!$A$50:$AJ$584,36,0)</f>
        <v>0</v>
      </c>
    </row>
    <row r="108" spans="1:47" ht="105" hidden="1" customHeight="1">
      <c r="B108" s="118" t="s">
        <v>206</v>
      </c>
      <c r="C108" s="120" t="s">
        <v>135</v>
      </c>
      <c r="D108" s="120" t="s">
        <v>136</v>
      </c>
      <c r="E108">
        <f t="shared" si="24"/>
        <v>22</v>
      </c>
      <c r="F108" s="122">
        <v>22</v>
      </c>
      <c r="G108" s="123">
        <v>22</v>
      </c>
      <c r="H108" s="124">
        <v>2200127</v>
      </c>
      <c r="I108" s="125"/>
      <c r="J108" s="124" t="s">
        <v>293</v>
      </c>
      <c r="K108" s="124" t="s">
        <v>294</v>
      </c>
      <c r="L108" s="126"/>
      <c r="M108" s="126"/>
      <c r="N108" s="127" t="s">
        <v>186</v>
      </c>
      <c r="O108" s="128" t="s">
        <v>187</v>
      </c>
      <c r="P108" s="126" t="s">
        <v>122</v>
      </c>
      <c r="Q108" s="129" t="s">
        <v>295</v>
      </c>
      <c r="R108" s="130" t="s">
        <v>296</v>
      </c>
      <c r="S108" s="131" t="s">
        <v>125</v>
      </c>
      <c r="T108" s="132">
        <v>40269</v>
      </c>
      <c r="U108" s="133" t="s">
        <v>297</v>
      </c>
      <c r="V108" s="134" t="s">
        <v>298</v>
      </c>
      <c r="W108" s="118" t="s">
        <v>299</v>
      </c>
      <c r="X108" s="135">
        <v>91951187</v>
      </c>
      <c r="Y108" s="135">
        <v>91951187</v>
      </c>
      <c r="Z108" s="136">
        <v>1</v>
      </c>
      <c r="AA108" s="127"/>
      <c r="AB108" s="127"/>
      <c r="AC108" s="127" t="s">
        <v>129</v>
      </c>
      <c r="AD108" s="137" t="s">
        <v>192</v>
      </c>
      <c r="AE108" s="138"/>
      <c r="AF108" s="125"/>
      <c r="AG108" s="117" t="s">
        <v>131</v>
      </c>
      <c r="AH108" s="139" t="s">
        <v>132</v>
      </c>
      <c r="AJ108" s="178"/>
      <c r="AK108" s="178" t="s">
        <v>147</v>
      </c>
      <c r="AL108" s="140" t="str">
        <f>VLOOKUP(AK108,'[3]17見直し計画'!$A$50:$AJ$584,6,0)</f>
        <v>　見直し計画策定以降の新規案件</v>
      </c>
      <c r="AM108" s="140">
        <f>VLOOKUP(AK108,'[3]17見直し計画'!$A$50:$AJ$584,8,0)</f>
        <v>0</v>
      </c>
      <c r="AN108" s="140">
        <f>VLOOKUP(AK108,'[3]17見直し計画'!$A$50:$AJ$584,10,0)</f>
        <v>0</v>
      </c>
      <c r="AO108" s="141">
        <f>VLOOKUP(AK108,'[3]17見直し計画'!$A$50:$AJ$584,11,0)</f>
        <v>0</v>
      </c>
      <c r="AP108" s="140">
        <f>VLOOKUP(AK108,'[3]17見直し計画'!$A$50:$AJ$584,12,0)</f>
        <v>0</v>
      </c>
      <c r="AQ108" s="140">
        <f>VLOOKUP(AK108,'[3]17見直し計画'!$A$50:$AJ$584,13,0)</f>
        <v>0</v>
      </c>
      <c r="AR108" s="140">
        <f>VLOOKUP(AK108,'[3]17見直し計画'!$A$50:$AJ$584,14,0)</f>
        <v>0</v>
      </c>
      <c r="AS108" s="140"/>
      <c r="AT108" s="140">
        <f>VLOOKUP(AK108,'[3]17見直し計画'!$A$50:$AJ$584,35,0)</f>
        <v>0</v>
      </c>
      <c r="AU108" s="140">
        <f>VLOOKUP(AK108,'[3]17見直し計画'!$A$50:$AJ$584,36,0)</f>
        <v>0</v>
      </c>
    </row>
    <row r="109" spans="1:47" ht="105" hidden="1" customHeight="1">
      <c r="B109" s="118" t="s">
        <v>134</v>
      </c>
      <c r="C109" s="120" t="s">
        <v>135</v>
      </c>
      <c r="D109" s="120" t="s">
        <v>136</v>
      </c>
      <c r="E109">
        <f t="shared" si="24"/>
        <v>23</v>
      </c>
      <c r="F109" s="122">
        <v>23</v>
      </c>
      <c r="G109" s="123">
        <v>23</v>
      </c>
      <c r="H109" s="124">
        <v>2200122</v>
      </c>
      <c r="I109" s="125"/>
      <c r="J109" s="124" t="s">
        <v>300</v>
      </c>
      <c r="K109" s="124" t="s">
        <v>195</v>
      </c>
      <c r="L109" s="126"/>
      <c r="M109" s="126"/>
      <c r="N109" s="127" t="s">
        <v>138</v>
      </c>
      <c r="O109" s="128" t="s">
        <v>139</v>
      </c>
      <c r="P109" s="126" t="s">
        <v>122</v>
      </c>
      <c r="Q109" s="210" t="s">
        <v>301</v>
      </c>
      <c r="R109" s="211" t="s">
        <v>302</v>
      </c>
      <c r="S109" s="212" t="s">
        <v>125</v>
      </c>
      <c r="T109" s="213">
        <v>40269</v>
      </c>
      <c r="U109" s="214" t="s">
        <v>303</v>
      </c>
      <c r="V109" s="215" t="s">
        <v>304</v>
      </c>
      <c r="W109" s="118" t="s">
        <v>299</v>
      </c>
      <c r="X109" s="135">
        <v>86940000</v>
      </c>
      <c r="Y109" s="135">
        <v>86940000</v>
      </c>
      <c r="Z109" s="136">
        <v>1</v>
      </c>
      <c r="AA109" s="127"/>
      <c r="AB109" s="127"/>
      <c r="AC109" s="127" t="s">
        <v>129</v>
      </c>
      <c r="AD109" s="137" t="s">
        <v>146</v>
      </c>
      <c r="AE109" s="138"/>
      <c r="AF109" s="125"/>
      <c r="AG109" s="117" t="s">
        <v>131</v>
      </c>
      <c r="AH109" s="139" t="s">
        <v>132</v>
      </c>
      <c r="AJ109" s="120"/>
      <c r="AK109" s="178" t="s">
        <v>147</v>
      </c>
      <c r="AL109" s="140" t="str">
        <f>VLOOKUP(AK109,'[3]17見直し計画'!$A$50:$AJ$584,6,0)</f>
        <v>　見直し計画策定以降の新規案件</v>
      </c>
      <c r="AM109" s="140">
        <f>VLOOKUP(AK109,'[3]17見直し計画'!$A$50:$AJ$584,8,0)</f>
        <v>0</v>
      </c>
      <c r="AN109" s="140">
        <f>VLOOKUP(AK109,'[3]17見直し計画'!$A$50:$AJ$584,10,0)</f>
        <v>0</v>
      </c>
      <c r="AO109" s="141">
        <f>VLOOKUP(AK109,'[3]17見直し計画'!$A$50:$AJ$584,11,0)</f>
        <v>0</v>
      </c>
      <c r="AP109" s="140">
        <f>VLOOKUP(AK109,'[3]17見直し計画'!$A$50:$AJ$584,12,0)</f>
        <v>0</v>
      </c>
      <c r="AQ109" s="140">
        <f>VLOOKUP(AK109,'[3]17見直し計画'!$A$50:$AJ$584,13,0)</f>
        <v>0</v>
      </c>
      <c r="AR109" s="140">
        <f>VLOOKUP(AK109,'[3]17見直し計画'!$A$50:$AJ$584,14,0)</f>
        <v>0</v>
      </c>
      <c r="AS109" s="140"/>
      <c r="AT109" s="140">
        <f>VLOOKUP(AK109,'[3]17見直し計画'!$A$50:$AJ$584,35,0)</f>
        <v>0</v>
      </c>
      <c r="AU109" s="140">
        <f>VLOOKUP(AK109,'[3]17見直し計画'!$A$50:$AJ$584,36,0)</f>
        <v>0</v>
      </c>
    </row>
    <row r="110" spans="1:47" ht="105" hidden="1" customHeight="1">
      <c r="A110" t="s">
        <v>148</v>
      </c>
      <c r="B110" s="119"/>
      <c r="C110" s="120"/>
      <c r="D110" s="120" t="s">
        <v>305</v>
      </c>
      <c r="E110">
        <f t="shared" si="24"/>
        <v>24</v>
      </c>
      <c r="F110" s="122">
        <v>24</v>
      </c>
      <c r="G110" s="123">
        <v>24</v>
      </c>
      <c r="H110" s="124">
        <v>2200072</v>
      </c>
      <c r="I110" s="125"/>
      <c r="J110" s="126" t="s">
        <v>306</v>
      </c>
      <c r="K110" s="124" t="s">
        <v>286</v>
      </c>
      <c r="L110" s="126"/>
      <c r="M110" s="126"/>
      <c r="N110" s="127" t="s">
        <v>307</v>
      </c>
      <c r="O110" s="128" t="s">
        <v>139</v>
      </c>
      <c r="P110" s="126" t="s">
        <v>308</v>
      </c>
      <c r="Q110" s="129" t="s">
        <v>309</v>
      </c>
      <c r="R110" s="130" t="s">
        <v>310</v>
      </c>
      <c r="S110" s="131" t="s">
        <v>125</v>
      </c>
      <c r="T110" s="132">
        <v>40269</v>
      </c>
      <c r="U110" s="133" t="s">
        <v>311</v>
      </c>
      <c r="V110" s="134" t="s">
        <v>312</v>
      </c>
      <c r="W110" s="118" t="s">
        <v>313</v>
      </c>
      <c r="X110" s="135">
        <v>108313632</v>
      </c>
      <c r="Y110" s="135">
        <v>86108400</v>
      </c>
      <c r="Z110" s="136">
        <v>0.79400000000000004</v>
      </c>
      <c r="AA110" s="127"/>
      <c r="AB110" s="127" t="s">
        <v>314</v>
      </c>
      <c r="AC110" s="127" t="s">
        <v>129</v>
      </c>
      <c r="AD110" s="137" t="s">
        <v>315</v>
      </c>
      <c r="AE110" s="138"/>
      <c r="AF110" s="125"/>
      <c r="AG110" s="117" t="s">
        <v>131</v>
      </c>
      <c r="AH110" s="139" t="s">
        <v>132</v>
      </c>
      <c r="AJ110" s="120"/>
      <c r="AK110" s="178" t="s">
        <v>147</v>
      </c>
      <c r="AL110" s="140" t="str">
        <f>VLOOKUP(AK110,'[3]17見直し計画'!$A$50:$AJ$584,6,0)</f>
        <v>　見直し計画策定以降の新規案件</v>
      </c>
      <c r="AM110" s="140">
        <f>VLOOKUP(AK110,'[3]17見直し計画'!$A$50:$AJ$584,8,0)</f>
        <v>0</v>
      </c>
      <c r="AN110" s="140">
        <f>VLOOKUP(AK110,'[3]17見直し計画'!$A$50:$AJ$584,10,0)</f>
        <v>0</v>
      </c>
      <c r="AO110" s="141">
        <f>VLOOKUP(AK110,'[3]17見直し計画'!$A$50:$AJ$584,11,0)</f>
        <v>0</v>
      </c>
      <c r="AP110" s="140">
        <f>VLOOKUP(AK110,'[3]17見直し計画'!$A$50:$AJ$584,12,0)</f>
        <v>0</v>
      </c>
      <c r="AQ110" s="140">
        <f>VLOOKUP(AK110,'[3]17見直し計画'!$A$50:$AJ$584,13,0)</f>
        <v>0</v>
      </c>
      <c r="AR110" s="140">
        <f>VLOOKUP(AK110,'[3]17見直し計画'!$A$50:$AJ$584,14,0)</f>
        <v>0</v>
      </c>
      <c r="AS110" s="140"/>
      <c r="AT110" s="140">
        <f>VLOOKUP(AK110,'[3]17見直し計画'!$A$50:$AJ$584,35,0)</f>
        <v>0</v>
      </c>
      <c r="AU110" s="140">
        <f>VLOOKUP(AK110,'[3]17見直し計画'!$A$50:$AJ$584,36,0)</f>
        <v>0</v>
      </c>
    </row>
    <row r="111" spans="1:47" ht="105" hidden="1" customHeight="1">
      <c r="B111" s="126" t="s">
        <v>134</v>
      </c>
      <c r="C111" s="143" t="s">
        <v>135</v>
      </c>
      <c r="D111" s="143" t="s">
        <v>256</v>
      </c>
      <c r="E111">
        <f t="shared" si="24"/>
        <v>25</v>
      </c>
      <c r="F111" s="122">
        <v>25</v>
      </c>
      <c r="G111" s="123">
        <v>25</v>
      </c>
      <c r="H111" s="124">
        <v>2200135</v>
      </c>
      <c r="I111" s="125"/>
      <c r="J111" s="124" t="s">
        <v>316</v>
      </c>
      <c r="K111" s="124" t="s">
        <v>195</v>
      </c>
      <c r="L111" s="126"/>
      <c r="M111" s="126"/>
      <c r="N111" s="127" t="s">
        <v>138</v>
      </c>
      <c r="O111" s="128" t="s">
        <v>139</v>
      </c>
      <c r="P111" s="126" t="s">
        <v>122</v>
      </c>
      <c r="Q111" s="129" t="s">
        <v>317</v>
      </c>
      <c r="R111" s="130" t="s">
        <v>318</v>
      </c>
      <c r="S111" s="131" t="s">
        <v>125</v>
      </c>
      <c r="T111" s="132">
        <v>40269</v>
      </c>
      <c r="U111" s="133" t="s">
        <v>303</v>
      </c>
      <c r="V111" s="134" t="s">
        <v>304</v>
      </c>
      <c r="W111" s="118" t="s">
        <v>319</v>
      </c>
      <c r="X111" s="135">
        <v>84546000</v>
      </c>
      <c r="Y111" s="135">
        <v>84546000</v>
      </c>
      <c r="Z111" s="136">
        <v>1</v>
      </c>
      <c r="AA111" s="127"/>
      <c r="AB111" s="127"/>
      <c r="AC111" s="127" t="s">
        <v>129</v>
      </c>
      <c r="AD111" s="137" t="s">
        <v>146</v>
      </c>
      <c r="AE111" s="138"/>
      <c r="AF111" s="125"/>
      <c r="AG111" s="117" t="s">
        <v>131</v>
      </c>
      <c r="AH111" s="139" t="s">
        <v>132</v>
      </c>
      <c r="AJ111" s="120" t="s">
        <v>156</v>
      </c>
      <c r="AK111" s="178" t="s">
        <v>147</v>
      </c>
      <c r="AL111" s="140" t="str">
        <f>VLOOKUP(AK111,'[3]17見直し計画'!$A$50:$AJ$584,6,0)</f>
        <v>　見直し計画策定以降の新規案件</v>
      </c>
      <c r="AM111" s="140">
        <f>VLOOKUP(AK111,'[3]17見直し計画'!$A$50:$AJ$584,8,0)</f>
        <v>0</v>
      </c>
      <c r="AN111" s="140">
        <f>VLOOKUP(AK111,'[3]17見直し計画'!$A$50:$AJ$584,10,0)</f>
        <v>0</v>
      </c>
      <c r="AO111" s="141">
        <f>VLOOKUP(AK111,'[3]17見直し計画'!$A$50:$AJ$584,11,0)</f>
        <v>0</v>
      </c>
      <c r="AP111" s="140">
        <f>VLOOKUP(AK111,'[3]17見直し計画'!$A$50:$AJ$584,12,0)</f>
        <v>0</v>
      </c>
      <c r="AQ111" s="140">
        <f>VLOOKUP(AK111,'[3]17見直し計画'!$A$50:$AJ$584,13,0)</f>
        <v>0</v>
      </c>
      <c r="AR111" s="140">
        <f>VLOOKUP(AK111,'[3]17見直し計画'!$A$50:$AJ$584,14,0)</f>
        <v>0</v>
      </c>
      <c r="AS111" s="140"/>
      <c r="AT111" s="140">
        <f>VLOOKUP(AK111,'[3]17見直し計画'!$A$50:$AJ$584,35,0)</f>
        <v>0</v>
      </c>
      <c r="AU111" s="140">
        <f>VLOOKUP(AK111,'[3]17見直し計画'!$A$50:$AJ$584,36,0)</f>
        <v>0</v>
      </c>
    </row>
    <row r="112" spans="1:47" ht="105" hidden="1" customHeight="1">
      <c r="B112" s="216" t="s">
        <v>320</v>
      </c>
      <c r="C112" s="143" t="s">
        <v>255</v>
      </c>
      <c r="D112" s="143" t="s">
        <v>256</v>
      </c>
      <c r="E112">
        <f t="shared" si="24"/>
        <v>26</v>
      </c>
      <c r="F112" s="122">
        <v>26</v>
      </c>
      <c r="G112" s="123">
        <v>26</v>
      </c>
      <c r="H112" s="124">
        <v>2200091</v>
      </c>
      <c r="I112" s="125"/>
      <c r="J112" s="124" t="s">
        <v>321</v>
      </c>
      <c r="K112" s="124" t="s">
        <v>137</v>
      </c>
      <c r="L112" s="126"/>
      <c r="M112" s="126"/>
      <c r="N112" s="127" t="s">
        <v>138</v>
      </c>
      <c r="O112" s="128" t="s">
        <v>139</v>
      </c>
      <c r="P112" s="126" t="s">
        <v>122</v>
      </c>
      <c r="Q112" s="129" t="s">
        <v>322</v>
      </c>
      <c r="R112" s="130" t="s">
        <v>323</v>
      </c>
      <c r="S112" s="131" t="s">
        <v>125</v>
      </c>
      <c r="T112" s="132">
        <v>40269</v>
      </c>
      <c r="U112" s="133" t="s">
        <v>242</v>
      </c>
      <c r="V112" s="134" t="s">
        <v>243</v>
      </c>
      <c r="W112" s="118" t="s">
        <v>128</v>
      </c>
      <c r="X112" s="135">
        <v>84246828</v>
      </c>
      <c r="Y112" s="135">
        <v>84246828</v>
      </c>
      <c r="Z112" s="136">
        <v>1</v>
      </c>
      <c r="AA112" s="127"/>
      <c r="AB112" s="127"/>
      <c r="AC112" s="127" t="s">
        <v>129</v>
      </c>
      <c r="AD112" s="137" t="s">
        <v>146</v>
      </c>
      <c r="AE112" s="138"/>
      <c r="AF112" s="125"/>
      <c r="AG112" s="117" t="s">
        <v>131</v>
      </c>
      <c r="AH112" s="139" t="s">
        <v>132</v>
      </c>
      <c r="AI112" s="177"/>
      <c r="AJ112" s="121" t="s">
        <v>244</v>
      </c>
      <c r="AK112" s="178" t="s">
        <v>147</v>
      </c>
      <c r="AL112" s="140" t="str">
        <f>VLOOKUP(AK112,'[3]17見直し計画'!$A$50:$AJ$584,6,0)</f>
        <v>　見直し計画策定以降の新規案件</v>
      </c>
      <c r="AM112" s="140">
        <f>VLOOKUP(AK112,'[3]17見直し計画'!$A$50:$AJ$584,8,0)</f>
        <v>0</v>
      </c>
      <c r="AN112" s="140">
        <f>VLOOKUP(AK112,'[3]17見直し計画'!$A$50:$AJ$584,10,0)</f>
        <v>0</v>
      </c>
      <c r="AO112" s="141">
        <f>VLOOKUP(AK112,'[3]17見直し計画'!$A$50:$AJ$584,11,0)</f>
        <v>0</v>
      </c>
      <c r="AP112" s="140">
        <f>VLOOKUP(AK112,'[3]17見直し計画'!$A$50:$AJ$584,12,0)</f>
        <v>0</v>
      </c>
      <c r="AQ112" s="140">
        <f>VLOOKUP(AK112,'[3]17見直し計画'!$A$50:$AJ$584,13,0)</f>
        <v>0</v>
      </c>
      <c r="AR112" s="140">
        <f>VLOOKUP(AK112,'[3]17見直し計画'!$A$50:$AJ$584,14,0)</f>
        <v>0</v>
      </c>
      <c r="AS112" s="140"/>
      <c r="AT112" s="140">
        <f>VLOOKUP(AK112,'[3]17見直し計画'!$A$50:$AJ$584,35,0)</f>
        <v>0</v>
      </c>
      <c r="AU112" s="140">
        <f>VLOOKUP(AK112,'[3]17見直し計画'!$A$50:$AJ$584,36,0)</f>
        <v>0</v>
      </c>
    </row>
    <row r="113" spans="1:53" ht="105" hidden="1" customHeight="1">
      <c r="B113" s="216" t="s">
        <v>320</v>
      </c>
      <c r="C113" s="143" t="s">
        <v>255</v>
      </c>
      <c r="D113" s="143" t="s">
        <v>256</v>
      </c>
      <c r="E113">
        <f t="shared" si="24"/>
        <v>27</v>
      </c>
      <c r="F113" s="122">
        <v>27</v>
      </c>
      <c r="G113" s="123">
        <v>27</v>
      </c>
      <c r="H113" s="124">
        <v>2200085</v>
      </c>
      <c r="I113" s="125"/>
      <c r="J113" s="124" t="s">
        <v>324</v>
      </c>
      <c r="K113" s="124" t="s">
        <v>137</v>
      </c>
      <c r="L113" s="126"/>
      <c r="M113" s="126"/>
      <c r="N113" s="127" t="s">
        <v>138</v>
      </c>
      <c r="O113" s="128" t="s">
        <v>139</v>
      </c>
      <c r="P113" s="126" t="s">
        <v>122</v>
      </c>
      <c r="Q113" s="129" t="s">
        <v>325</v>
      </c>
      <c r="R113" s="130" t="s">
        <v>326</v>
      </c>
      <c r="S113" s="131" t="s">
        <v>125</v>
      </c>
      <c r="T113" s="132">
        <v>40269</v>
      </c>
      <c r="U113" s="133" t="s">
        <v>327</v>
      </c>
      <c r="V113" s="134" t="s">
        <v>328</v>
      </c>
      <c r="W113" s="118" t="s">
        <v>128</v>
      </c>
      <c r="X113" s="135">
        <v>79058821</v>
      </c>
      <c r="Y113" s="135">
        <v>79058821</v>
      </c>
      <c r="Z113" s="136">
        <v>1</v>
      </c>
      <c r="AA113" s="127"/>
      <c r="AB113" s="127"/>
      <c r="AC113" s="127" t="s">
        <v>129</v>
      </c>
      <c r="AD113" s="137" t="s">
        <v>146</v>
      </c>
      <c r="AE113" s="138"/>
      <c r="AF113" s="125"/>
      <c r="AG113" s="117" t="s">
        <v>131</v>
      </c>
      <c r="AH113" s="139" t="s">
        <v>132</v>
      </c>
      <c r="AJ113" s="217" t="s">
        <v>329</v>
      </c>
      <c r="AK113" s="178" t="s">
        <v>147</v>
      </c>
      <c r="AL113" s="140" t="str">
        <f>VLOOKUP(AK113,'[3]17見直し計画'!$A$50:$AJ$584,6,0)</f>
        <v>　見直し計画策定以降の新規案件</v>
      </c>
      <c r="AM113" s="140">
        <f>VLOOKUP(AK113,'[3]17見直し計画'!$A$50:$AJ$584,8,0)</f>
        <v>0</v>
      </c>
      <c r="AN113" s="140">
        <f>VLOOKUP(AK113,'[3]17見直し計画'!$A$50:$AJ$584,10,0)</f>
        <v>0</v>
      </c>
      <c r="AO113" s="141">
        <f>VLOOKUP(AK113,'[3]17見直し計画'!$A$50:$AJ$584,11,0)</f>
        <v>0</v>
      </c>
      <c r="AP113" s="140">
        <f>VLOOKUP(AK113,'[3]17見直し計画'!$A$50:$AJ$584,12,0)</f>
        <v>0</v>
      </c>
      <c r="AQ113" s="140">
        <f>VLOOKUP(AK113,'[3]17見直し計画'!$A$50:$AJ$584,13,0)</f>
        <v>0</v>
      </c>
      <c r="AR113" s="140">
        <f>VLOOKUP(AK113,'[3]17見直し計画'!$A$50:$AJ$584,14,0)</f>
        <v>0</v>
      </c>
      <c r="AS113" s="140"/>
      <c r="AT113" s="140">
        <f>VLOOKUP(AK113,'[3]17見直し計画'!$A$50:$AJ$584,35,0)</f>
        <v>0</v>
      </c>
      <c r="AU113" s="140">
        <f>VLOOKUP(AK113,'[3]17見直し計画'!$A$50:$AJ$584,36,0)</f>
        <v>0</v>
      </c>
    </row>
    <row r="114" spans="1:53" ht="105" hidden="1" customHeight="1">
      <c r="B114" s="218" t="s">
        <v>218</v>
      </c>
      <c r="C114" s="143" t="s">
        <v>135</v>
      </c>
      <c r="D114" s="143" t="s">
        <v>136</v>
      </c>
      <c r="E114">
        <f t="shared" si="24"/>
        <v>28</v>
      </c>
      <c r="F114" s="122">
        <v>28</v>
      </c>
      <c r="G114" s="123">
        <v>28</v>
      </c>
      <c r="H114" s="124">
        <v>2200205</v>
      </c>
      <c r="I114" s="125"/>
      <c r="J114" s="124" t="s">
        <v>330</v>
      </c>
      <c r="K114" s="124" t="s">
        <v>195</v>
      </c>
      <c r="L114" s="126"/>
      <c r="M114" s="126"/>
      <c r="N114" s="127" t="s">
        <v>138</v>
      </c>
      <c r="O114" s="128" t="s">
        <v>139</v>
      </c>
      <c r="P114" s="126" t="s">
        <v>122</v>
      </c>
      <c r="Q114" s="129" t="s">
        <v>331</v>
      </c>
      <c r="R114" s="130" t="s">
        <v>332</v>
      </c>
      <c r="S114" s="131" t="s">
        <v>125</v>
      </c>
      <c r="T114" s="132">
        <v>40269</v>
      </c>
      <c r="U114" s="133" t="s">
        <v>222</v>
      </c>
      <c r="V114" s="134" t="s">
        <v>333</v>
      </c>
      <c r="W114" s="118" t="s">
        <v>334</v>
      </c>
      <c r="X114" s="135">
        <v>65275620</v>
      </c>
      <c r="Y114" s="135">
        <v>65275620</v>
      </c>
      <c r="Z114" s="136">
        <v>1</v>
      </c>
      <c r="AA114" s="127"/>
      <c r="AB114" s="127"/>
      <c r="AC114" s="127" t="s">
        <v>129</v>
      </c>
      <c r="AD114" s="137" t="s">
        <v>146</v>
      </c>
      <c r="AE114" s="138"/>
      <c r="AF114" s="125"/>
      <c r="AG114" s="117" t="s">
        <v>131</v>
      </c>
      <c r="AH114" s="139" t="s">
        <v>132</v>
      </c>
      <c r="AJ114" s="178" t="s">
        <v>156</v>
      </c>
      <c r="AK114" s="178" t="s">
        <v>147</v>
      </c>
      <c r="AL114" s="140" t="str">
        <f>VLOOKUP(AK114,'[3]17見直し計画'!$A$50:$AJ$584,6,0)</f>
        <v>　見直し計画策定以降の新規案件</v>
      </c>
      <c r="AM114" s="140">
        <f>VLOOKUP(AK114,'[3]17見直し計画'!$A$50:$AJ$584,8,0)</f>
        <v>0</v>
      </c>
      <c r="AN114" s="140">
        <f>VLOOKUP(AK114,'[3]17見直し計画'!$A$50:$AJ$584,10,0)</f>
        <v>0</v>
      </c>
      <c r="AO114" s="141">
        <f>VLOOKUP(AK114,'[3]17見直し計画'!$A$50:$AJ$584,11,0)</f>
        <v>0</v>
      </c>
      <c r="AP114" s="140">
        <f>VLOOKUP(AK114,'[3]17見直し計画'!$A$50:$AJ$584,12,0)</f>
        <v>0</v>
      </c>
      <c r="AQ114" s="140">
        <f>VLOOKUP(AK114,'[3]17見直し計画'!$A$50:$AJ$584,13,0)</f>
        <v>0</v>
      </c>
      <c r="AR114" s="140">
        <f>VLOOKUP(AK114,'[3]17見直し計画'!$A$50:$AJ$584,14,0)</f>
        <v>0</v>
      </c>
      <c r="AS114" s="140"/>
      <c r="AT114" s="140">
        <f>VLOOKUP(AK114,'[3]17見直し計画'!$A$50:$AJ$584,35,0)</f>
        <v>0</v>
      </c>
      <c r="AU114" s="140">
        <f>VLOOKUP(AK114,'[3]17見直し計画'!$A$50:$AJ$584,36,0)</f>
        <v>0</v>
      </c>
    </row>
    <row r="115" spans="1:53" ht="105" hidden="1" customHeight="1">
      <c r="B115" s="219" t="s">
        <v>335</v>
      </c>
      <c r="C115" s="143" t="s">
        <v>135</v>
      </c>
      <c r="D115" s="143" t="s">
        <v>136</v>
      </c>
      <c r="E115">
        <f t="shared" si="24"/>
        <v>29</v>
      </c>
      <c r="F115" s="122">
        <v>29</v>
      </c>
      <c r="G115" s="123">
        <v>29</v>
      </c>
      <c r="H115" s="124">
        <v>2200330</v>
      </c>
      <c r="I115" s="125"/>
      <c r="J115" s="124" t="s">
        <v>336</v>
      </c>
      <c r="K115" s="124" t="s">
        <v>195</v>
      </c>
      <c r="L115" s="126"/>
      <c r="M115" s="126"/>
      <c r="N115" s="127" t="s">
        <v>138</v>
      </c>
      <c r="O115" s="128" t="s">
        <v>139</v>
      </c>
      <c r="P115" s="126" t="s">
        <v>122</v>
      </c>
      <c r="Q115" s="129" t="s">
        <v>337</v>
      </c>
      <c r="R115" s="130" t="s">
        <v>338</v>
      </c>
      <c r="S115" s="131" t="s">
        <v>125</v>
      </c>
      <c r="T115" s="132">
        <v>40269</v>
      </c>
      <c r="U115" s="133" t="s">
        <v>242</v>
      </c>
      <c r="V115" s="134" t="s">
        <v>243</v>
      </c>
      <c r="W115" s="118" t="s">
        <v>339</v>
      </c>
      <c r="X115" s="135">
        <v>62638080</v>
      </c>
      <c r="Y115" s="135">
        <v>62638080</v>
      </c>
      <c r="Z115" s="136">
        <v>1</v>
      </c>
      <c r="AA115" s="127"/>
      <c r="AB115" s="127"/>
      <c r="AC115" s="127" t="s">
        <v>129</v>
      </c>
      <c r="AD115" s="137" t="s">
        <v>146</v>
      </c>
      <c r="AE115" s="138"/>
      <c r="AF115" s="125"/>
      <c r="AG115" s="117" t="s">
        <v>131</v>
      </c>
      <c r="AH115" s="139" t="s">
        <v>132</v>
      </c>
      <c r="AJ115" s="178" t="s">
        <v>156</v>
      </c>
      <c r="AK115" s="178" t="s">
        <v>147</v>
      </c>
      <c r="AL115" s="140" t="str">
        <f>VLOOKUP(AK115,'[3]17見直し計画'!$A$50:$AJ$584,6,0)</f>
        <v>　見直し計画策定以降の新規案件</v>
      </c>
      <c r="AM115" s="140">
        <f>VLOOKUP(AK115,'[3]17見直し計画'!$A$50:$AJ$584,8,0)</f>
        <v>0</v>
      </c>
      <c r="AN115" s="140">
        <f>VLOOKUP(AK115,'[3]17見直し計画'!$A$50:$AJ$584,10,0)</f>
        <v>0</v>
      </c>
      <c r="AO115" s="141">
        <f>VLOOKUP(AK115,'[3]17見直し計画'!$A$50:$AJ$584,11,0)</f>
        <v>0</v>
      </c>
      <c r="AP115" s="140">
        <f>VLOOKUP(AK115,'[3]17見直し計画'!$A$50:$AJ$584,12,0)</f>
        <v>0</v>
      </c>
      <c r="AQ115" s="140">
        <f>VLOOKUP(AK115,'[3]17見直し計画'!$A$50:$AJ$584,13,0)</f>
        <v>0</v>
      </c>
      <c r="AR115" s="140">
        <f>VLOOKUP(AK115,'[3]17見直し計画'!$A$50:$AJ$584,14,0)</f>
        <v>0</v>
      </c>
      <c r="AS115" s="140"/>
      <c r="AT115" s="140">
        <f>VLOOKUP(AK115,'[3]17見直し計画'!$A$50:$AJ$584,35,0)</f>
        <v>0</v>
      </c>
      <c r="AU115" s="140">
        <f>VLOOKUP(AK115,'[3]17見直し計画'!$A$50:$AJ$584,36,0)</f>
        <v>0</v>
      </c>
    </row>
    <row r="116" spans="1:53" ht="105" hidden="1" customHeight="1">
      <c r="B116" s="219" t="s">
        <v>193</v>
      </c>
      <c r="C116" s="143" t="s">
        <v>135</v>
      </c>
      <c r="D116" s="143" t="s">
        <v>136</v>
      </c>
      <c r="E116">
        <f t="shared" si="24"/>
        <v>30</v>
      </c>
      <c r="F116" s="122">
        <v>30</v>
      </c>
      <c r="G116" s="123">
        <v>30</v>
      </c>
      <c r="H116" s="124">
        <v>2200079</v>
      </c>
      <c r="I116" s="125"/>
      <c r="J116" s="124" t="s">
        <v>340</v>
      </c>
      <c r="K116" s="124" t="s">
        <v>137</v>
      </c>
      <c r="L116" s="126"/>
      <c r="M116" s="126"/>
      <c r="N116" s="127" t="s">
        <v>138</v>
      </c>
      <c r="O116" s="128" t="s">
        <v>139</v>
      </c>
      <c r="P116" s="126" t="s">
        <v>122</v>
      </c>
      <c r="Q116" s="129" t="s">
        <v>341</v>
      </c>
      <c r="R116" s="130" t="s">
        <v>342</v>
      </c>
      <c r="S116" s="131" t="s">
        <v>125</v>
      </c>
      <c r="T116" s="132">
        <v>40269</v>
      </c>
      <c r="U116" s="133" t="s">
        <v>343</v>
      </c>
      <c r="V116" s="134" t="s">
        <v>344</v>
      </c>
      <c r="W116" s="118" t="s">
        <v>128</v>
      </c>
      <c r="X116" s="135">
        <v>57092691</v>
      </c>
      <c r="Y116" s="135">
        <v>57092691</v>
      </c>
      <c r="Z116" s="136">
        <v>1</v>
      </c>
      <c r="AA116" s="127"/>
      <c r="AB116" s="127"/>
      <c r="AC116" s="127" t="s">
        <v>129</v>
      </c>
      <c r="AD116" s="137" t="s">
        <v>146</v>
      </c>
      <c r="AE116" s="138"/>
      <c r="AF116" s="125"/>
      <c r="AG116" s="117" t="s">
        <v>131</v>
      </c>
      <c r="AH116" s="139" t="s">
        <v>132</v>
      </c>
      <c r="AJ116" s="120"/>
      <c r="AK116" s="178" t="s">
        <v>147</v>
      </c>
      <c r="AL116" s="140" t="str">
        <f>VLOOKUP(AK116,'[3]17見直し計画'!$A$50:$AJ$584,6,0)</f>
        <v>　見直し計画策定以降の新規案件</v>
      </c>
      <c r="AM116" s="140">
        <f>VLOOKUP(AK116,'[3]17見直し計画'!$A$50:$AJ$584,8,0)</f>
        <v>0</v>
      </c>
      <c r="AN116" s="140">
        <f>VLOOKUP(AK116,'[3]17見直し計画'!$A$50:$AJ$584,10,0)</f>
        <v>0</v>
      </c>
      <c r="AO116" s="141">
        <f>VLOOKUP(AK116,'[3]17見直し計画'!$A$50:$AJ$584,11,0)</f>
        <v>0</v>
      </c>
      <c r="AP116" s="140">
        <f>VLOOKUP(AK116,'[3]17見直し計画'!$A$50:$AJ$584,12,0)</f>
        <v>0</v>
      </c>
      <c r="AQ116" s="140">
        <f>VLOOKUP(AK116,'[3]17見直し計画'!$A$50:$AJ$584,13,0)</f>
        <v>0</v>
      </c>
      <c r="AR116" s="140">
        <f>VLOOKUP(AK116,'[3]17見直し計画'!$A$50:$AJ$584,14,0)</f>
        <v>0</v>
      </c>
      <c r="AS116" s="140"/>
      <c r="AT116" s="140">
        <f>VLOOKUP(AK116,'[3]17見直し計画'!$A$50:$AJ$584,35,0)</f>
        <v>0</v>
      </c>
      <c r="AU116" s="140">
        <f>VLOOKUP(AK116,'[3]17見直し計画'!$A$50:$AJ$584,36,0)</f>
        <v>0</v>
      </c>
    </row>
    <row r="117" spans="1:53" ht="105" hidden="1" customHeight="1">
      <c r="B117" s="220"/>
      <c r="C117" s="220"/>
      <c r="D117" s="153" t="s">
        <v>159</v>
      </c>
      <c r="E117" s="154">
        <f t="shared" si="24"/>
        <v>31</v>
      </c>
      <c r="F117" s="155">
        <v>31</v>
      </c>
      <c r="G117" s="156">
        <v>31</v>
      </c>
      <c r="H117" s="157">
        <v>2200248</v>
      </c>
      <c r="I117" s="158"/>
      <c r="J117" s="157"/>
      <c r="K117" s="157" t="s">
        <v>345</v>
      </c>
      <c r="L117" s="159"/>
      <c r="M117" s="159"/>
      <c r="N117" s="160" t="s">
        <v>162</v>
      </c>
      <c r="O117" s="161" t="s">
        <v>121</v>
      </c>
      <c r="P117" s="159" t="s">
        <v>163</v>
      </c>
      <c r="Q117" s="162" t="s">
        <v>346</v>
      </c>
      <c r="R117" s="163" t="s">
        <v>347</v>
      </c>
      <c r="S117" s="164" t="s">
        <v>125</v>
      </c>
      <c r="T117" s="165">
        <v>40269</v>
      </c>
      <c r="U117" s="166" t="s">
        <v>126</v>
      </c>
      <c r="V117" s="167" t="s">
        <v>127</v>
      </c>
      <c r="W117" s="151" t="s">
        <v>168</v>
      </c>
      <c r="X117" s="168">
        <v>54609081</v>
      </c>
      <c r="Y117" s="168">
        <v>54609081</v>
      </c>
      <c r="Z117" s="169">
        <v>1</v>
      </c>
      <c r="AA117" s="160">
        <v>1</v>
      </c>
      <c r="AB117" s="160"/>
      <c r="AC117" s="160" t="s">
        <v>169</v>
      </c>
      <c r="AD117" s="170" t="s">
        <v>170</v>
      </c>
      <c r="AE117" s="171"/>
      <c r="AF117" s="158"/>
      <c r="AG117" s="172" t="s">
        <v>131</v>
      </c>
      <c r="AH117" s="173" t="s">
        <v>171</v>
      </c>
      <c r="AI117" s="154"/>
      <c r="AJ117" s="152"/>
      <c r="AK117" s="152" t="s">
        <v>348</v>
      </c>
      <c r="AL117" s="174" t="str">
        <f>VLOOKUP(AK117,'[3]17見直し計画'!$A$50:$AJ$584,6,0)</f>
        <v>社団法人　　国際交流サービス協会</v>
      </c>
      <c r="AM117" s="174" t="str">
        <f>VLOOKUP(AK117,'[3]17見直し計画'!$A$50:$AJ$584,8,0)</f>
        <v>公邸料理人の紹介、派遣及び研修等の業務委嘱（※５件）</v>
      </c>
      <c r="AN117" s="174" t="str">
        <f>VLOOKUP(AK117,'[3]17見直し計画'!$A$50:$AJ$584,10,0)</f>
        <v>平成17/04/01</v>
      </c>
      <c r="AO117" s="175">
        <f>VLOOKUP(AK117,'[3]17見直し計画'!$A$50:$AJ$584,11,0)</f>
        <v>70882632</v>
      </c>
      <c r="AP117" s="174" t="str">
        <f>VLOOKUP(AK117,'[3]17見直し計画'!$A$50:$AJ$584,12,0)</f>
        <v>本事業は、質の高い料理人を随時紹介できる状態を保つ必要があり、料理業界との信頼関係を確立し、また、個々の料理人が在外公館の公邸における我が国の外交活動の一環としての公邸会食業務を遂行する能力があるか否か等に関する情報を蓄積していることが不可欠である。従って、これまで本件事業を実施してきた当該法人と契約する以外に選択肢はない（会計法第２９条の３第４項）。</v>
      </c>
      <c r="AQ117" s="174" t="str">
        <f>VLOOKUP(AK117,'[3]17見直し計画'!$A$50:$AJ$584,13,0)</f>
        <v>見直しの余地があるもの</v>
      </c>
      <c r="AR117" s="174" t="str">
        <f>VLOOKUP(AK117,'[3]17見直し計画'!$A$50:$AJ$584,14,0)</f>
        <v>一般競争入札等に移行するための準備に時間を要するもの（１９年度以降において公募実施）</v>
      </c>
      <c r="AS117" s="174"/>
      <c r="AT117" s="174">
        <f>VLOOKUP(AK117,'[3]17見直し計画'!$A$50:$AJ$584,35,0)</f>
        <v>0</v>
      </c>
      <c r="AU117" s="174">
        <f>VLOOKUP(AK117,'[3]17見直し計画'!$A$50:$AJ$584,36,0)</f>
        <v>0</v>
      </c>
    </row>
    <row r="118" spans="1:53" ht="105" customHeight="1">
      <c r="B118" s="143" t="s">
        <v>349</v>
      </c>
      <c r="C118" s="143" t="s">
        <v>350</v>
      </c>
      <c r="D118" s="143" t="s">
        <v>351</v>
      </c>
      <c r="E118">
        <f t="shared" si="24"/>
        <v>32</v>
      </c>
      <c r="F118" s="122">
        <v>32</v>
      </c>
      <c r="G118" s="123">
        <v>32</v>
      </c>
      <c r="H118" s="124">
        <v>2200281</v>
      </c>
      <c r="I118" s="125"/>
      <c r="J118" s="126" t="s">
        <v>352</v>
      </c>
      <c r="K118" s="124" t="s">
        <v>353</v>
      </c>
      <c r="L118" s="126"/>
      <c r="M118" s="126"/>
      <c r="N118" s="127" t="s">
        <v>354</v>
      </c>
      <c r="O118" s="128" t="s">
        <v>355</v>
      </c>
      <c r="P118" s="126" t="s">
        <v>122</v>
      </c>
      <c r="Q118" s="129" t="s">
        <v>356</v>
      </c>
      <c r="R118" s="130" t="s">
        <v>357</v>
      </c>
      <c r="S118" s="131" t="s">
        <v>125</v>
      </c>
      <c r="T118" s="132">
        <v>40269</v>
      </c>
      <c r="U118" s="133" t="s">
        <v>358</v>
      </c>
      <c r="V118" s="134" t="s">
        <v>359</v>
      </c>
      <c r="W118" s="118" t="s">
        <v>360</v>
      </c>
      <c r="X118" s="135">
        <v>54066204</v>
      </c>
      <c r="Y118" s="135">
        <v>54066204</v>
      </c>
      <c r="Z118" s="136">
        <v>1</v>
      </c>
      <c r="AA118" s="127"/>
      <c r="AB118" s="127"/>
      <c r="AC118" s="127" t="s">
        <v>129</v>
      </c>
      <c r="AD118" s="137" t="s">
        <v>361</v>
      </c>
      <c r="AE118" s="138"/>
      <c r="AF118" s="125"/>
      <c r="AG118" s="117" t="s">
        <v>131</v>
      </c>
      <c r="AH118" s="139" t="s">
        <v>132</v>
      </c>
      <c r="AJ118" s="120"/>
      <c r="AK118" s="178" t="s">
        <v>362</v>
      </c>
      <c r="AL118" s="140" t="str">
        <f>VLOOKUP(AK118,'[3]17見直し計画'!$A$50:$AJ$584,6,0)</f>
        <v>成田国際空港株式会社</v>
      </c>
      <c r="AM118" s="140" t="str">
        <f>VLOOKUP(AK118,'[3]17見直し計画'!$A$50:$AJ$584,8,0)</f>
        <v>成田国際空港第１ＰＴＢ内貴賓室賃貸借契約</v>
      </c>
      <c r="AN118" s="140" t="str">
        <f>VLOOKUP(AK118,'[3]17見直し計画'!$A$50:$AJ$584,10,0)</f>
        <v>平成17/04/01</v>
      </c>
      <c r="AO118" s="141">
        <f>VLOOKUP(AK118,'[3]17見直し計画'!$A$50:$AJ$584,11,0)</f>
        <v>15894840</v>
      </c>
      <c r="AP118" s="140" t="str">
        <f>VLOOKUP(AK118,'[3]17見直し計画'!$A$50:$AJ$584,12,0)</f>
        <v>契約可能な相手が成田空港株式会社以外になく、他に競争を許さない（会計法第２９条の３第４項）。</v>
      </c>
      <c r="AQ118" s="140" t="str">
        <f>VLOOKUP(AK118,'[3]17見直し計画'!$A$50:$AJ$584,13,0)</f>
        <v>その他のもの</v>
      </c>
      <c r="AR118" s="140" t="str">
        <f>VLOOKUP(AK118,'[3]17見直し計画'!$A$50:$AJ$584,14,0)</f>
        <v>ー
（随意契約によらざるを得ないもの）</v>
      </c>
      <c r="AS118" s="140"/>
      <c r="AT118" s="140" t="str">
        <f>VLOOKUP(AK118,'[3]17見直し計画'!$A$50:$AJ$584,35,0)</f>
        <v>場所が限定される賃貸借その他業務</v>
      </c>
      <c r="AU118" s="140" t="str">
        <f>VLOOKUP(AK118,'[3]17見直し計画'!$A$50:$AJ$584,36,0)</f>
        <v>ロ</v>
      </c>
    </row>
    <row r="119" spans="1:53" ht="105" hidden="1" customHeight="1">
      <c r="B119" s="221" t="s">
        <v>213</v>
      </c>
      <c r="C119" s="143" t="s">
        <v>135</v>
      </c>
      <c r="D119" s="143" t="s">
        <v>136</v>
      </c>
      <c r="E119">
        <f>SUM(E118+1)</f>
        <v>33</v>
      </c>
      <c r="F119" s="122">
        <v>33</v>
      </c>
      <c r="G119" s="123">
        <v>33</v>
      </c>
      <c r="H119" s="124">
        <v>2200368</v>
      </c>
      <c r="I119" s="125"/>
      <c r="J119" s="124" t="s">
        <v>363</v>
      </c>
      <c r="K119" s="124" t="s">
        <v>294</v>
      </c>
      <c r="L119" s="126"/>
      <c r="M119" s="126"/>
      <c r="N119" s="127" t="s">
        <v>186</v>
      </c>
      <c r="O119" s="128" t="s">
        <v>187</v>
      </c>
      <c r="P119" s="126" t="s">
        <v>122</v>
      </c>
      <c r="Q119" s="210" t="s">
        <v>364</v>
      </c>
      <c r="R119" s="211" t="s">
        <v>365</v>
      </c>
      <c r="S119" s="212" t="s">
        <v>125</v>
      </c>
      <c r="T119" s="213">
        <v>40269</v>
      </c>
      <c r="U119" s="214" t="s">
        <v>190</v>
      </c>
      <c r="V119" s="215" t="s">
        <v>143</v>
      </c>
      <c r="W119" s="118" t="s">
        <v>366</v>
      </c>
      <c r="X119" s="135">
        <v>52381350</v>
      </c>
      <c r="Y119" s="135">
        <v>52381350</v>
      </c>
      <c r="Z119" s="136">
        <v>1</v>
      </c>
      <c r="AA119" s="127"/>
      <c r="AB119" s="127"/>
      <c r="AC119" s="127" t="s">
        <v>129</v>
      </c>
      <c r="AD119" s="137" t="s">
        <v>192</v>
      </c>
      <c r="AE119" s="138"/>
      <c r="AF119" s="125"/>
      <c r="AG119" s="117" t="s">
        <v>131</v>
      </c>
      <c r="AH119" s="139" t="s">
        <v>132</v>
      </c>
      <c r="AJ119" s="120"/>
      <c r="AK119" s="178" t="s">
        <v>147</v>
      </c>
      <c r="AL119" s="140" t="str">
        <f>VLOOKUP(AK119,'[3]17見直し計画'!$A$50:$AJ$584,6,0)</f>
        <v>　見直し計画策定以降の新規案件</v>
      </c>
      <c r="AM119" s="140">
        <f>VLOOKUP(AK119,'[3]17見直し計画'!$A$50:$AJ$584,8,0)</f>
        <v>0</v>
      </c>
      <c r="AN119" s="140">
        <f>VLOOKUP(AK119,'[3]17見直し計画'!$A$50:$AJ$584,10,0)</f>
        <v>0</v>
      </c>
      <c r="AO119" s="141">
        <f>VLOOKUP(AK119,'[3]17見直し計画'!$A$50:$AJ$584,11,0)</f>
        <v>0</v>
      </c>
      <c r="AP119" s="140">
        <f>VLOOKUP(AK119,'[3]17見直し計画'!$A$50:$AJ$584,12,0)</f>
        <v>0</v>
      </c>
      <c r="AQ119" s="140">
        <f>VLOOKUP(AK119,'[3]17見直し計画'!$A$50:$AJ$584,13,0)</f>
        <v>0</v>
      </c>
      <c r="AR119" s="140">
        <f>VLOOKUP(AK119,'[3]17見直し計画'!$A$50:$AJ$584,14,0)</f>
        <v>0</v>
      </c>
      <c r="AS119" s="140"/>
      <c r="AT119" s="140">
        <f>VLOOKUP(AK119,'[3]17見直し計画'!$A$50:$AJ$584,35,0)</f>
        <v>0</v>
      </c>
      <c r="AU119" s="140">
        <f>VLOOKUP(AK119,'[3]17見直し計画'!$A$50:$AJ$584,36,0)</f>
        <v>0</v>
      </c>
    </row>
    <row r="120" spans="1:53" ht="105" hidden="1" customHeight="1">
      <c r="B120" s="143" t="s">
        <v>367</v>
      </c>
      <c r="C120" s="143" t="s">
        <v>350</v>
      </c>
      <c r="D120" s="143" t="s">
        <v>368</v>
      </c>
      <c r="E120">
        <f t="shared" si="24"/>
        <v>34</v>
      </c>
      <c r="F120" s="122">
        <v>34</v>
      </c>
      <c r="G120" s="123">
        <v>34</v>
      </c>
      <c r="H120" s="124">
        <v>2200290</v>
      </c>
      <c r="I120" s="125"/>
      <c r="J120" s="124" t="s">
        <v>369</v>
      </c>
      <c r="K120" s="124" t="s">
        <v>286</v>
      </c>
      <c r="L120" s="126"/>
      <c r="M120" s="126"/>
      <c r="N120" s="127" t="s">
        <v>354</v>
      </c>
      <c r="O120" s="128" t="s">
        <v>355</v>
      </c>
      <c r="P120" s="126" t="s">
        <v>122</v>
      </c>
      <c r="Q120" s="129" t="s">
        <v>370</v>
      </c>
      <c r="R120" s="130" t="s">
        <v>371</v>
      </c>
      <c r="S120" s="131" t="s">
        <v>125</v>
      </c>
      <c r="T120" s="132">
        <v>40269</v>
      </c>
      <c r="U120" s="133" t="s">
        <v>372</v>
      </c>
      <c r="V120" s="134" t="s">
        <v>373</v>
      </c>
      <c r="W120" s="118" t="s">
        <v>360</v>
      </c>
      <c r="X120" s="135" t="s">
        <v>129</v>
      </c>
      <c r="Y120" s="135">
        <v>51365190</v>
      </c>
      <c r="Z120" s="136" t="e">
        <v>#VALUE!</v>
      </c>
      <c r="AA120" s="127"/>
      <c r="AB120" s="127"/>
      <c r="AC120" s="127" t="s">
        <v>129</v>
      </c>
      <c r="AD120" s="137" t="s">
        <v>361</v>
      </c>
      <c r="AE120" s="138"/>
      <c r="AF120" s="125"/>
      <c r="AG120" s="117" t="s">
        <v>131</v>
      </c>
      <c r="AH120" s="139" t="s">
        <v>132</v>
      </c>
      <c r="AJ120" s="120"/>
      <c r="AK120" s="178" t="s">
        <v>374</v>
      </c>
      <c r="AL120" s="140" t="str">
        <f>VLOOKUP(AK120,'[3]17見直し計画'!$A$50:$AJ$584,6,0)</f>
        <v>日本放送協会</v>
      </c>
      <c r="AM120" s="140" t="str">
        <f>VLOOKUP(AK120,'[3]17見直し計画'!$A$50:$AJ$584,8,0)</f>
        <v>ＮＨＫテレビ受信料</v>
      </c>
      <c r="AN120" s="140" t="str">
        <f>VLOOKUP(AK120,'[3]17見直し計画'!$A$50:$AJ$584,10,0)</f>
        <v>平成17/04/01</v>
      </c>
      <c r="AO120" s="141">
        <f>VLOOKUP(AK120,'[3]17見直し計画'!$A$50:$AJ$584,11,0)</f>
        <v>8575170</v>
      </c>
      <c r="AP120" s="140" t="str">
        <f>VLOOKUP(AK120,'[3]17見直し計画'!$A$50:$AJ$584,12,0)</f>
        <v>放送受信に当たり他に競争を許さない（会計法第２９条の３第４項）。</v>
      </c>
      <c r="AQ120" s="140" t="str">
        <f>VLOOKUP(AK120,'[3]17見直し計画'!$A$50:$AJ$584,13,0)</f>
        <v>その他のもの</v>
      </c>
      <c r="AR120" s="140" t="str">
        <f>VLOOKUP(AK120,'[3]17見直し計画'!$A$50:$AJ$584,14,0)</f>
        <v>ー
（随意契約によらざるを得ないもの）</v>
      </c>
      <c r="AS120" s="140"/>
      <c r="AT120" s="140" t="str">
        <f>VLOOKUP(AK120,'[3]17見直し計画'!$A$50:$AJ$584,35,0)</f>
        <v>行政目的を達成するために不可欠な情報の提供</v>
      </c>
      <c r="AU120" s="140" t="str">
        <f>VLOOKUP(AK120,'[3]17見直し計画'!$A$50:$AJ$584,36,0)</f>
        <v>ニ（ヘ）</v>
      </c>
    </row>
    <row r="121" spans="1:53" ht="105" hidden="1" customHeight="1">
      <c r="B121" s="222" t="s">
        <v>375</v>
      </c>
      <c r="C121" s="120" t="s">
        <v>117</v>
      </c>
      <c r="D121" s="143" t="s">
        <v>159</v>
      </c>
      <c r="E121">
        <f t="shared" si="24"/>
        <v>35</v>
      </c>
      <c r="F121" s="122">
        <v>35</v>
      </c>
      <c r="G121" s="123">
        <v>35</v>
      </c>
      <c r="H121" s="124">
        <v>2200132</v>
      </c>
      <c r="I121" s="125"/>
      <c r="J121" s="124" t="s">
        <v>376</v>
      </c>
      <c r="K121" s="124" t="s">
        <v>195</v>
      </c>
      <c r="L121" s="126"/>
      <c r="M121" s="126"/>
      <c r="N121" s="127" t="s">
        <v>138</v>
      </c>
      <c r="O121" s="128" t="s">
        <v>139</v>
      </c>
      <c r="P121" s="126" t="s">
        <v>122</v>
      </c>
      <c r="Q121" s="129" t="s">
        <v>377</v>
      </c>
      <c r="R121" s="130" t="s">
        <v>378</v>
      </c>
      <c r="S121" s="131" t="s">
        <v>125</v>
      </c>
      <c r="T121" s="132">
        <v>40269</v>
      </c>
      <c r="U121" s="133" t="s">
        <v>379</v>
      </c>
      <c r="V121" s="134" t="s">
        <v>380</v>
      </c>
      <c r="W121" s="118" t="s">
        <v>381</v>
      </c>
      <c r="X121" s="135">
        <v>40430000</v>
      </c>
      <c r="Y121" s="135">
        <v>40383000</v>
      </c>
      <c r="Z121" s="136">
        <v>0.998</v>
      </c>
      <c r="AA121" s="127"/>
      <c r="AB121" s="127"/>
      <c r="AC121" s="127" t="s">
        <v>129</v>
      </c>
      <c r="AD121" s="137" t="s">
        <v>146</v>
      </c>
      <c r="AE121" s="138"/>
      <c r="AF121" s="125"/>
      <c r="AG121" s="117" t="s">
        <v>131</v>
      </c>
      <c r="AH121" s="139" t="s">
        <v>132</v>
      </c>
      <c r="AI121" s="177"/>
      <c r="AJ121" s="121" t="s">
        <v>382</v>
      </c>
      <c r="AK121" s="120" t="s">
        <v>383</v>
      </c>
      <c r="AL121" s="140" t="str">
        <f>VLOOKUP(AK121,'[3]17見直し計画'!$A$50:$AJ$584,6,0)</f>
        <v>東京コンサルティング株式会社</v>
      </c>
      <c r="AM121" s="140" t="str">
        <f>VLOOKUP(AK121,'[3]17見直し計画'!$A$50:$AJ$584,8,0)</f>
        <v>ＣＩＯ補佐官業務等の外部委託</v>
      </c>
      <c r="AN121" s="180">
        <f>VLOOKUP(AK121,'[3]17見直し計画'!$A$50:$AJ$584,10,0)</f>
        <v>38443</v>
      </c>
      <c r="AO121" s="141">
        <f>VLOOKUP(AK121,'[3]17見直し計画'!$A$50:$AJ$584,11,0)</f>
        <v>59598000</v>
      </c>
      <c r="AP121" s="140" t="str">
        <f>VLOOKUP(AK121,'[3]17見直し計画'!$A$50:$AJ$584,12,0)</f>
        <v>本業務の目的を達成するために必要な知見、経験、人員を擁する唯一の業者であり、他に競争を許さない（会計法第２９条の３第４項、特定政令に該当）。</v>
      </c>
      <c r="AQ121" s="140" t="str">
        <f>VLOOKUP(AK121,'[3]17見直し計画'!$A$50:$AJ$584,13,0)</f>
        <v>見直しの余地があるもの</v>
      </c>
      <c r="AR121" s="140" t="str">
        <f>VLOOKUP(AK121,'[3]17見直し計画'!$A$50:$AJ$584,14,0)</f>
        <v>競争入札もしくは企画招請へ移行（１９年度から実施予定）</v>
      </c>
      <c r="AS121" s="140"/>
      <c r="AT121" s="140">
        <f>VLOOKUP(AK121,'[3]17見直し計画'!$A$50:$AJ$584,35,0)</f>
        <v>0</v>
      </c>
      <c r="AU121" s="140">
        <f>VLOOKUP(AK121,'[3]17見直し計画'!$A$50:$AJ$584,36,0)</f>
        <v>0</v>
      </c>
    </row>
    <row r="122" spans="1:53" ht="105" hidden="1" customHeight="1">
      <c r="B122" s="222" t="s">
        <v>375</v>
      </c>
      <c r="C122" s="120" t="s">
        <v>117</v>
      </c>
      <c r="D122" s="143" t="s">
        <v>159</v>
      </c>
      <c r="E122">
        <f t="shared" si="24"/>
        <v>36</v>
      </c>
      <c r="F122" s="122">
        <v>36</v>
      </c>
      <c r="G122" s="123">
        <v>36</v>
      </c>
      <c r="H122" s="124">
        <v>2200096</v>
      </c>
      <c r="I122" s="125"/>
      <c r="J122" s="124" t="s">
        <v>384</v>
      </c>
      <c r="K122" s="124" t="s">
        <v>195</v>
      </c>
      <c r="L122" s="126"/>
      <c r="M122" s="126"/>
      <c r="N122" s="127" t="s">
        <v>138</v>
      </c>
      <c r="O122" s="128" t="s">
        <v>139</v>
      </c>
      <c r="P122" s="126" t="s">
        <v>122</v>
      </c>
      <c r="Q122" s="129" t="s">
        <v>385</v>
      </c>
      <c r="R122" s="130" t="s">
        <v>386</v>
      </c>
      <c r="S122" s="131" t="s">
        <v>125</v>
      </c>
      <c r="T122" s="132">
        <v>40269</v>
      </c>
      <c r="U122" s="133" t="s">
        <v>387</v>
      </c>
      <c r="V122" s="134" t="s">
        <v>388</v>
      </c>
      <c r="W122" s="118" t="s">
        <v>381</v>
      </c>
      <c r="X122" s="135">
        <v>40446000</v>
      </c>
      <c r="Y122" s="135">
        <v>39501000</v>
      </c>
      <c r="Z122" s="136">
        <v>0.97599999999999998</v>
      </c>
      <c r="AA122" s="127"/>
      <c r="AB122" s="127"/>
      <c r="AC122" s="127" t="s">
        <v>129</v>
      </c>
      <c r="AD122" s="137" t="s">
        <v>146</v>
      </c>
      <c r="AE122" s="138"/>
      <c r="AF122" s="125"/>
      <c r="AG122" s="117" t="s">
        <v>131</v>
      </c>
      <c r="AH122" s="139" t="s">
        <v>132</v>
      </c>
      <c r="AJ122" s="121" t="s">
        <v>389</v>
      </c>
      <c r="AK122" s="120" t="s">
        <v>383</v>
      </c>
      <c r="AL122" s="140" t="str">
        <f>VLOOKUP(AK122,'[3]17見直し計画'!$A$50:$AJ$584,6,0)</f>
        <v>東京コンサルティング株式会社</v>
      </c>
      <c r="AM122" s="140" t="str">
        <f>VLOOKUP(AK122,'[3]17見直し計画'!$A$50:$AJ$584,8,0)</f>
        <v>ＣＩＯ補佐官業務等の外部委託</v>
      </c>
      <c r="AN122" s="180">
        <f>VLOOKUP(AK122,'[3]17見直し計画'!$A$50:$AJ$584,10,0)</f>
        <v>38443</v>
      </c>
      <c r="AO122" s="141">
        <f>VLOOKUP(AK122,'[3]17見直し計画'!$A$50:$AJ$584,11,0)</f>
        <v>59598000</v>
      </c>
      <c r="AP122" s="140" t="str">
        <f>VLOOKUP(AK122,'[3]17見直し計画'!$A$50:$AJ$584,12,0)</f>
        <v>本業務の目的を達成するために必要な知見、経験、人員を擁する唯一の業者であり、他に競争を許さない（会計法第２９条の３第４項、特定政令に該当）。</v>
      </c>
      <c r="AQ122" s="140" t="str">
        <f>VLOOKUP(AK122,'[3]17見直し計画'!$A$50:$AJ$584,13,0)</f>
        <v>見直しの余地があるもの</v>
      </c>
      <c r="AR122" s="140" t="str">
        <f>VLOOKUP(AK122,'[3]17見直し計画'!$A$50:$AJ$584,14,0)</f>
        <v>競争入札もしくは企画招請へ移行（１９年度から実施予定）</v>
      </c>
      <c r="AS122" s="140"/>
      <c r="AT122" s="140">
        <f>VLOOKUP(AK122,'[3]17見直し計画'!$A$50:$AJ$584,35,0)</f>
        <v>0</v>
      </c>
      <c r="AU122" s="140">
        <f>VLOOKUP(AK122,'[3]17見直し計画'!$A$50:$AJ$584,36,0)</f>
        <v>0</v>
      </c>
    </row>
    <row r="123" spans="1:53" ht="242.25" hidden="1" customHeight="1">
      <c r="A123" t="s">
        <v>148</v>
      </c>
      <c r="B123" s="143" t="s">
        <v>390</v>
      </c>
      <c r="C123" s="143" t="s">
        <v>391</v>
      </c>
      <c r="D123" s="121" t="s">
        <v>175</v>
      </c>
      <c r="E123">
        <f t="shared" si="24"/>
        <v>37</v>
      </c>
      <c r="F123" s="122">
        <v>37</v>
      </c>
      <c r="G123" s="123">
        <v>37</v>
      </c>
      <c r="H123" s="124">
        <v>2200167</v>
      </c>
      <c r="I123" s="125"/>
      <c r="J123" s="124" t="s">
        <v>392</v>
      </c>
      <c r="K123" s="124" t="s">
        <v>393</v>
      </c>
      <c r="L123" s="126"/>
      <c r="M123" s="126"/>
      <c r="N123" s="127" t="s">
        <v>138</v>
      </c>
      <c r="O123" s="128" t="s">
        <v>139</v>
      </c>
      <c r="P123" s="126" t="s">
        <v>122</v>
      </c>
      <c r="Q123" s="129" t="s">
        <v>394</v>
      </c>
      <c r="R123" s="130" t="s">
        <v>395</v>
      </c>
      <c r="S123" s="131" t="s">
        <v>125</v>
      </c>
      <c r="T123" s="132">
        <v>40269</v>
      </c>
      <c r="U123" s="133" t="s">
        <v>396</v>
      </c>
      <c r="V123" s="134" t="s">
        <v>397</v>
      </c>
      <c r="W123" s="118" t="s">
        <v>398</v>
      </c>
      <c r="X123" s="135">
        <v>37639560</v>
      </c>
      <c r="Y123" s="135">
        <v>37639560</v>
      </c>
      <c r="Z123" s="136">
        <v>1</v>
      </c>
      <c r="AA123" s="127"/>
      <c r="AB123" s="127"/>
      <c r="AC123" s="127" t="s">
        <v>129</v>
      </c>
      <c r="AD123" s="137" t="s">
        <v>146</v>
      </c>
      <c r="AE123" s="138"/>
      <c r="AF123" s="125"/>
      <c r="AG123" s="117" t="s">
        <v>131</v>
      </c>
      <c r="AH123" s="139" t="s">
        <v>132</v>
      </c>
      <c r="AJ123" s="120"/>
      <c r="AK123" s="120" t="s">
        <v>399</v>
      </c>
      <c r="AL123" s="140" t="str">
        <f>VLOOKUP(AK123,'[3]17見直し計画'!$A$50:$AJ$584,6,0)</f>
        <v>日立インターメディックス株式会社</v>
      </c>
      <c r="AM123" s="140" t="str">
        <f>VLOOKUP(AK123,'[3]17見直し計画'!$A$50:$AJ$584,8,0)</f>
        <v>「海外安全ホームページ」運営・管理業務委託契約</v>
      </c>
      <c r="AN123" s="180">
        <f>VLOOKUP(AK123,'[3]17見直し計画'!$A$50:$AJ$584,10,0)</f>
        <v>38443</v>
      </c>
      <c r="AO123" s="141">
        <f>VLOOKUP(AK123,'[3]17見直し計画'!$A$50:$AJ$584,11,0)</f>
        <v>46392570</v>
      </c>
      <c r="AP123" s="140" t="str">
        <f>VLOOKUP(AK123,'[3]17見直し計画'!$A$50:$AJ$584,12,0)</f>
        <v>現在稼働中のシステムの運用・管理を同システムの開発業者である契約相手先に委託するものであり、業務効率・費用面から考えて他に競争を許さない（会計法第２９条の３第４項、特例政令に該当）。</v>
      </c>
      <c r="AQ123" s="140" t="str">
        <f>VLOOKUP(AK123,'[3]17見直し計画'!$A$50:$AJ$584,13,0)</f>
        <v>見直しの余地があるもの</v>
      </c>
      <c r="AR123" s="140" t="str">
        <f>VLOOKUP(AK123,'[3]17見直し計画'!$A$50:$AJ$584,14,0)</f>
        <v>平成２０年度中に予定されているホームページの統合以降は当該業務の委託は行わない</v>
      </c>
      <c r="AS123" s="140"/>
      <c r="AT123" s="140" t="str">
        <f>VLOOKUP(AK123,'[3]17見直し計画'!$A$50:$AJ$584,35,0)</f>
        <v>システム最適化計画により、外務省ホームページ及び海外安全ホームページをはじめとする省内の複数のサーバを平成２０年３月末までに統合し、全く新たなシステム構築を行うこととしていたが、海外安全ホームページについては、システムが複雑であり、また、十分な移行準備期間の確保が困難であったことから、新たに移行準備期間を設け、平成２２年度を目標として統合を図る予定である。このため、統合までの間に敢えて新たな業者に業務を委託することは合理性に乏しく、暫定的なホームページ維持に対して多大なシステム構築費を要することとなり、結果的に「システム最適化」に向けての取組に支障を来すことになる。</v>
      </c>
      <c r="AU123" s="140" t="str">
        <f>VLOOKUP(AK123,'[3]17見直し計画'!$A$50:$AJ$584,36,0)</f>
        <v>平成２２年度</v>
      </c>
      <c r="AV123" s="766" t="s">
        <v>400</v>
      </c>
      <c r="AW123" s="767"/>
      <c r="AX123" s="767"/>
      <c r="AY123" s="767"/>
      <c r="AZ123" s="767"/>
      <c r="BA123" s="767"/>
    </row>
    <row r="124" spans="1:53" ht="105" hidden="1" customHeight="1">
      <c r="B124" s="143" t="s">
        <v>320</v>
      </c>
      <c r="C124" s="143" t="s">
        <v>255</v>
      </c>
      <c r="D124" s="143" t="s">
        <v>256</v>
      </c>
      <c r="E124">
        <f t="shared" si="24"/>
        <v>38</v>
      </c>
      <c r="F124" s="122">
        <v>38</v>
      </c>
      <c r="G124" s="123">
        <v>38</v>
      </c>
      <c r="H124" s="124">
        <v>2200087</v>
      </c>
      <c r="I124" s="125"/>
      <c r="J124" s="126" t="s">
        <v>401</v>
      </c>
      <c r="K124" s="124" t="s">
        <v>137</v>
      </c>
      <c r="L124" s="126"/>
      <c r="M124" s="126"/>
      <c r="N124" s="127" t="s">
        <v>138</v>
      </c>
      <c r="O124" s="128" t="s">
        <v>139</v>
      </c>
      <c r="P124" s="126" t="s">
        <v>122</v>
      </c>
      <c r="Q124" s="129" t="s">
        <v>402</v>
      </c>
      <c r="R124" s="130" t="s">
        <v>323</v>
      </c>
      <c r="S124" s="131" t="s">
        <v>125</v>
      </c>
      <c r="T124" s="132">
        <v>40269</v>
      </c>
      <c r="U124" s="133" t="s">
        <v>242</v>
      </c>
      <c r="V124" s="134" t="s">
        <v>243</v>
      </c>
      <c r="W124" s="118" t="s">
        <v>339</v>
      </c>
      <c r="X124" s="135">
        <v>36057420</v>
      </c>
      <c r="Y124" s="135">
        <v>36057420</v>
      </c>
      <c r="Z124" s="136">
        <v>1</v>
      </c>
      <c r="AA124" s="127"/>
      <c r="AB124" s="127"/>
      <c r="AC124" s="127" t="s">
        <v>129</v>
      </c>
      <c r="AD124" s="137" t="s">
        <v>146</v>
      </c>
      <c r="AE124" s="138"/>
      <c r="AF124" s="125"/>
      <c r="AG124" s="117" t="s">
        <v>131</v>
      </c>
      <c r="AH124" s="139" t="s">
        <v>132</v>
      </c>
      <c r="AJ124" s="179" t="s">
        <v>292</v>
      </c>
      <c r="AK124" s="120" t="s">
        <v>147</v>
      </c>
      <c r="AL124" s="140" t="str">
        <f>VLOOKUP(AK124,'[3]17見直し計画'!$A$50:$AJ$584,6,0)</f>
        <v>　見直し計画策定以降の新規案件</v>
      </c>
      <c r="AM124" s="140">
        <f>VLOOKUP(AK124,'[3]17見直し計画'!$A$50:$AJ$584,8,0)</f>
        <v>0</v>
      </c>
      <c r="AN124" s="180"/>
      <c r="AO124" s="141">
        <f>VLOOKUP(AK124,'[3]17見直し計画'!$A$50:$AJ$584,11,0)</f>
        <v>0</v>
      </c>
      <c r="AP124" s="140">
        <f>VLOOKUP(AK124,'[3]17見直し計画'!$A$50:$AJ$584,12,0)</f>
        <v>0</v>
      </c>
      <c r="AQ124" s="140">
        <f>VLOOKUP(AK124,'[3]17見直し計画'!$A$50:$AJ$584,13,0)</f>
        <v>0</v>
      </c>
      <c r="AR124" s="140">
        <f>VLOOKUP(AK124,'[3]17見直し計画'!$A$50:$AJ$584,14,0)</f>
        <v>0</v>
      </c>
      <c r="AS124" s="140"/>
      <c r="AT124" s="140">
        <f>VLOOKUP(AK124,'[3]17見直し計画'!$A$50:$AJ$584,35,0)</f>
        <v>0</v>
      </c>
      <c r="AU124" s="140">
        <f>VLOOKUP(AK124,'[3]17見直し計画'!$A$50:$AJ$584,36,0)</f>
        <v>0</v>
      </c>
    </row>
    <row r="125" spans="1:53" ht="105" hidden="1" customHeight="1">
      <c r="B125" s="143" t="s">
        <v>320</v>
      </c>
      <c r="C125" s="143" t="s">
        <v>135</v>
      </c>
      <c r="D125" s="143" t="s">
        <v>136</v>
      </c>
      <c r="E125">
        <f t="shared" si="24"/>
        <v>39</v>
      </c>
      <c r="F125" s="122">
        <v>39</v>
      </c>
      <c r="G125" s="123">
        <v>39</v>
      </c>
      <c r="H125" s="124">
        <v>2200193</v>
      </c>
      <c r="I125" s="125"/>
      <c r="J125" s="124" t="s">
        <v>403</v>
      </c>
      <c r="K125" s="124" t="s">
        <v>195</v>
      </c>
      <c r="L125" s="126"/>
      <c r="M125" s="126"/>
      <c r="N125" s="127" t="s">
        <v>138</v>
      </c>
      <c r="O125" s="128" t="s">
        <v>139</v>
      </c>
      <c r="P125" s="126" t="s">
        <v>122</v>
      </c>
      <c r="Q125" s="129" t="s">
        <v>404</v>
      </c>
      <c r="R125" s="130" t="s">
        <v>405</v>
      </c>
      <c r="S125" s="131" t="s">
        <v>125</v>
      </c>
      <c r="T125" s="132">
        <v>40269</v>
      </c>
      <c r="U125" s="133" t="s">
        <v>406</v>
      </c>
      <c r="V125" s="134" t="s">
        <v>407</v>
      </c>
      <c r="W125" s="118" t="s">
        <v>408</v>
      </c>
      <c r="X125" s="135">
        <v>35272800</v>
      </c>
      <c r="Y125" s="135">
        <v>35272800</v>
      </c>
      <c r="Z125" s="136">
        <v>1</v>
      </c>
      <c r="AA125" s="127"/>
      <c r="AB125" s="127"/>
      <c r="AC125" s="127" t="s">
        <v>129</v>
      </c>
      <c r="AD125" s="137" t="s">
        <v>146</v>
      </c>
      <c r="AE125" s="138"/>
      <c r="AF125" s="125"/>
      <c r="AG125" s="117" t="s">
        <v>131</v>
      </c>
      <c r="AH125" s="139" t="s">
        <v>132</v>
      </c>
      <c r="AJ125" s="120" t="s">
        <v>156</v>
      </c>
      <c r="AK125" s="120" t="s">
        <v>147</v>
      </c>
      <c r="AL125" s="140" t="str">
        <f>VLOOKUP(AK125,'[3]17見直し計画'!$A$50:$AJ$584,6,0)</f>
        <v>　見直し計画策定以降の新規案件</v>
      </c>
      <c r="AM125" s="140">
        <f>VLOOKUP(AK125,'[3]17見直し計画'!$A$50:$AJ$584,8,0)</f>
        <v>0</v>
      </c>
      <c r="AN125" s="180"/>
      <c r="AO125" s="141">
        <f>VLOOKUP(AK125,'[3]17見直し計画'!$A$50:$AJ$584,11,0)</f>
        <v>0</v>
      </c>
      <c r="AP125" s="140">
        <f>VLOOKUP(AK125,'[3]17見直し計画'!$A$50:$AJ$584,12,0)</f>
        <v>0</v>
      </c>
      <c r="AQ125" s="140">
        <f>VLOOKUP(AK125,'[3]17見直し計画'!$A$50:$AJ$584,13,0)</f>
        <v>0</v>
      </c>
      <c r="AR125" s="140">
        <f>VLOOKUP(AK125,'[3]17見直し計画'!$A$50:$AJ$584,14,0)</f>
        <v>0</v>
      </c>
      <c r="AS125" s="140"/>
      <c r="AT125" s="140">
        <f>VLOOKUP(AK125,'[3]17見直し計画'!$A$50:$AJ$584,35,0)</f>
        <v>0</v>
      </c>
      <c r="AU125" s="140">
        <f>VLOOKUP(AK125,'[3]17見直し計画'!$A$50:$AJ$584,36,0)</f>
        <v>0</v>
      </c>
    </row>
    <row r="126" spans="1:53" ht="177" hidden="1" customHeight="1">
      <c r="A126" t="s">
        <v>148</v>
      </c>
      <c r="B126" s="143" t="s">
        <v>390</v>
      </c>
      <c r="C126" s="143" t="s">
        <v>391</v>
      </c>
      <c r="D126" s="143" t="s">
        <v>409</v>
      </c>
      <c r="E126">
        <f t="shared" si="24"/>
        <v>40</v>
      </c>
      <c r="F126" s="122">
        <v>40</v>
      </c>
      <c r="G126" s="123">
        <v>40</v>
      </c>
      <c r="H126" s="124">
        <v>2200448</v>
      </c>
      <c r="I126" s="125"/>
      <c r="J126" s="124" t="s">
        <v>410</v>
      </c>
      <c r="K126" s="124" t="s">
        <v>286</v>
      </c>
      <c r="L126" s="126"/>
      <c r="M126" s="126"/>
      <c r="N126" s="127" t="s">
        <v>138</v>
      </c>
      <c r="O126" s="128" t="s">
        <v>139</v>
      </c>
      <c r="P126" s="126" t="s">
        <v>122</v>
      </c>
      <c r="Q126" s="129" t="s">
        <v>411</v>
      </c>
      <c r="R126" s="130" t="s">
        <v>412</v>
      </c>
      <c r="S126" s="131" t="s">
        <v>125</v>
      </c>
      <c r="T126" s="132">
        <v>40269</v>
      </c>
      <c r="U126" s="133" t="s">
        <v>413</v>
      </c>
      <c r="V126" s="134" t="s">
        <v>380</v>
      </c>
      <c r="W126" s="118" t="s">
        <v>414</v>
      </c>
      <c r="X126" s="135">
        <v>33785000</v>
      </c>
      <c r="Y126" s="135">
        <v>33768000</v>
      </c>
      <c r="Z126" s="136">
        <v>0.999</v>
      </c>
      <c r="AA126" s="127"/>
      <c r="AB126" s="127"/>
      <c r="AC126" s="127" t="s">
        <v>129</v>
      </c>
      <c r="AD126" s="137" t="s">
        <v>146</v>
      </c>
      <c r="AE126" s="138"/>
      <c r="AF126" s="125"/>
      <c r="AG126" s="117" t="s">
        <v>131</v>
      </c>
      <c r="AH126" s="139" t="s">
        <v>132</v>
      </c>
      <c r="AJ126" s="120"/>
      <c r="AK126" s="120" t="s">
        <v>415</v>
      </c>
      <c r="AL126" s="140" t="str">
        <f>VLOOKUP(AK126,'[3]17見直し計画'!$A$50:$AJ$584,6,0)</f>
        <v>日本ＨＰファイナンシャルサービス株式会社</v>
      </c>
      <c r="AM126" s="140" t="str">
        <f>VLOOKUP(AK126,'[3]17見直し計画'!$A$50:$AJ$584,8,0)</f>
        <v>電子入札・開札システム（運用支援業務一式）</v>
      </c>
      <c r="AN126" s="180">
        <f>VLOOKUP(AK126,'[3]17見直し計画'!$A$50:$AJ$584,10,0)</f>
        <v>38443</v>
      </c>
      <c r="AO126" s="141">
        <f>VLOOKUP(AK126,'[3]17見直し計画'!$A$50:$AJ$584,11,0)</f>
        <v>32651184</v>
      </c>
      <c r="AP126" s="140" t="str">
        <f>VLOOKUP(AK126,'[3]17見直し計画'!$A$50:$AJ$584,12,0)</f>
        <v>平成１５年度において一般競争入札で調達した案件。本システムの開発を行った会社が同システムの保守を行うものであり、競争を許さない（会計法第２９条の３第４項、特定政令に該当）。</v>
      </c>
      <c r="AQ126" s="140" t="str">
        <f>VLOOKUP(AK126,'[3]17見直し計画'!$A$50:$AJ$584,13,0)</f>
        <v>見直しの余地があるもの</v>
      </c>
      <c r="AR126" s="140" t="str">
        <f>VLOOKUP(AK126,'[3]17見直し計画'!$A$50:$AJ$584,14,0)</f>
        <v>平成２０年度に予定している新システム導入以降は当該事務・事業の委託を行わない。</v>
      </c>
      <c r="AS126" s="140"/>
      <c r="AT126" s="140" t="str">
        <f>VLOOKUP(AK126,'[3]17見直し計画'!$A$50:$AJ$584,35,0)</f>
        <v>本システムは独自に開発されたシステムであり、開発元の業者と契約することが、経済的かつ合理的であり、第三者が新たに携わる場合、システムの動作保証に対する影響が強く懸念される。
なお、平成22年度に府省共通システムが導入される予定であり、データを新システムに移行した時点で本システムは廃止となる。</v>
      </c>
      <c r="AU126" s="140" t="str">
        <f>VLOOKUP(AK126,'[3]17見直し計画'!$A$50:$AJ$584,36,0)</f>
        <v>平成22年度</v>
      </c>
      <c r="AV126" s="766" t="s">
        <v>416</v>
      </c>
      <c r="AW126" s="767"/>
      <c r="AX126" s="767"/>
      <c r="AY126" s="767"/>
      <c r="AZ126" s="767"/>
      <c r="BA126" s="767"/>
    </row>
    <row r="127" spans="1:53" ht="105" hidden="1" customHeight="1">
      <c r="B127" s="126" t="s">
        <v>134</v>
      </c>
      <c r="C127" s="143" t="s">
        <v>135</v>
      </c>
      <c r="D127" s="143" t="s">
        <v>136</v>
      </c>
      <c r="E127">
        <f t="shared" si="24"/>
        <v>41</v>
      </c>
      <c r="F127" s="122">
        <v>41</v>
      </c>
      <c r="G127" s="123">
        <v>41</v>
      </c>
      <c r="H127" s="124">
        <v>2200128</v>
      </c>
      <c r="I127" s="125"/>
      <c r="J127" s="124" t="s">
        <v>417</v>
      </c>
      <c r="K127" s="124" t="s">
        <v>137</v>
      </c>
      <c r="L127" s="126"/>
      <c r="M127" s="126"/>
      <c r="N127" s="127" t="s">
        <v>138</v>
      </c>
      <c r="O127" s="128" t="s">
        <v>139</v>
      </c>
      <c r="P127" s="126" t="s">
        <v>122</v>
      </c>
      <c r="Q127" s="210" t="s">
        <v>418</v>
      </c>
      <c r="R127" s="211" t="s">
        <v>419</v>
      </c>
      <c r="S127" s="212" t="s">
        <v>125</v>
      </c>
      <c r="T127" s="213">
        <v>40269</v>
      </c>
      <c r="U127" s="214" t="s">
        <v>222</v>
      </c>
      <c r="V127" s="215" t="s">
        <v>223</v>
      </c>
      <c r="W127" s="118" t="s">
        <v>420</v>
      </c>
      <c r="X127" s="135">
        <v>33733096</v>
      </c>
      <c r="Y127" s="135">
        <v>33733096</v>
      </c>
      <c r="Z127" s="136">
        <v>1</v>
      </c>
      <c r="AA127" s="127"/>
      <c r="AB127" s="127"/>
      <c r="AC127" s="127" t="s">
        <v>129</v>
      </c>
      <c r="AD127" s="137" t="s">
        <v>146</v>
      </c>
      <c r="AE127" s="138"/>
      <c r="AF127" s="125"/>
      <c r="AG127" s="117" t="s">
        <v>131</v>
      </c>
      <c r="AH127" s="139" t="s">
        <v>132</v>
      </c>
      <c r="AJ127" s="120" t="s">
        <v>156</v>
      </c>
      <c r="AK127" s="120" t="s">
        <v>147</v>
      </c>
      <c r="AL127" s="140" t="str">
        <f>VLOOKUP(AK127,'[3]17見直し計画'!$A$50:$AJ$584,6,0)</f>
        <v>　見直し計画策定以降の新規案件</v>
      </c>
      <c r="AM127" s="140">
        <f>VLOOKUP(AK127,'[3]17見直し計画'!$A$50:$AJ$584,8,0)</f>
        <v>0</v>
      </c>
      <c r="AN127" s="180"/>
      <c r="AO127" s="141">
        <f>VLOOKUP(AK127,'[3]17見直し計画'!$A$50:$AJ$584,11,0)</f>
        <v>0</v>
      </c>
      <c r="AP127" s="140">
        <f>VLOOKUP(AK127,'[3]17見直し計画'!$A$50:$AJ$584,12,0)</f>
        <v>0</v>
      </c>
      <c r="AQ127" s="140">
        <f>VLOOKUP(AK127,'[3]17見直し計画'!$A$50:$AJ$584,13,0)</f>
        <v>0</v>
      </c>
      <c r="AR127" s="140">
        <f>VLOOKUP(AK127,'[3]17見直し計画'!$A$50:$AJ$584,14,0)</f>
        <v>0</v>
      </c>
      <c r="AS127" s="140"/>
      <c r="AT127" s="140">
        <f>VLOOKUP(AK127,'[3]17見直し計画'!$A$50:$AJ$584,35,0)</f>
        <v>0</v>
      </c>
      <c r="AU127" s="140">
        <f>VLOOKUP(AK127,'[3]17見直し計画'!$A$50:$AJ$584,36,0)</f>
        <v>0</v>
      </c>
    </row>
    <row r="128" spans="1:53" ht="105" hidden="1" customHeight="1">
      <c r="B128" s="189"/>
      <c r="C128" s="223"/>
      <c r="D128" s="223" t="s">
        <v>421</v>
      </c>
      <c r="E128" s="184">
        <f t="shared" si="24"/>
        <v>42</v>
      </c>
      <c r="F128" s="185">
        <v>42</v>
      </c>
      <c r="G128" s="186">
        <v>42</v>
      </c>
      <c r="H128" s="187">
        <v>2200116</v>
      </c>
      <c r="I128" s="188"/>
      <c r="J128" s="187" t="s">
        <v>422</v>
      </c>
      <c r="K128" s="187" t="s">
        <v>195</v>
      </c>
      <c r="L128" s="189"/>
      <c r="M128" s="189"/>
      <c r="N128" s="190" t="s">
        <v>230</v>
      </c>
      <c r="O128" s="191" t="s">
        <v>139</v>
      </c>
      <c r="P128" s="189" t="s">
        <v>231</v>
      </c>
      <c r="Q128" s="192" t="s">
        <v>423</v>
      </c>
      <c r="R128" s="193" t="s">
        <v>424</v>
      </c>
      <c r="S128" s="194" t="s">
        <v>125</v>
      </c>
      <c r="T128" s="195">
        <v>40269</v>
      </c>
      <c r="U128" s="196" t="s">
        <v>425</v>
      </c>
      <c r="V128" s="197" t="s">
        <v>426</v>
      </c>
      <c r="W128" s="181" t="s">
        <v>236</v>
      </c>
      <c r="X128" s="198">
        <v>29296000</v>
      </c>
      <c r="Y128" s="198">
        <v>28875000</v>
      </c>
      <c r="Z128" s="199">
        <v>0.98499999999999999</v>
      </c>
      <c r="AA128" s="190"/>
      <c r="AB128" s="190"/>
      <c r="AC128" s="190">
        <v>2</v>
      </c>
      <c r="AD128" s="200" t="s">
        <v>427</v>
      </c>
      <c r="AE128" s="201"/>
      <c r="AF128" s="188"/>
      <c r="AG128" s="202" t="s">
        <v>131</v>
      </c>
      <c r="AH128" s="203" t="s">
        <v>428</v>
      </c>
      <c r="AI128" s="184"/>
      <c r="AJ128" s="182"/>
      <c r="AK128" s="182" t="s">
        <v>147</v>
      </c>
      <c r="AL128" s="204" t="str">
        <f>VLOOKUP(AK128,'[3]17見直し計画'!$A$50:$AJ$584,6,0)</f>
        <v>　見直し計画策定以降の新規案件</v>
      </c>
      <c r="AM128" s="204">
        <f>VLOOKUP(AK128,'[3]17見直し計画'!$A$50:$AJ$584,8,0)</f>
        <v>0</v>
      </c>
      <c r="AN128" s="224"/>
      <c r="AO128" s="205">
        <f>VLOOKUP(AK128,'[3]17見直し計画'!$A$50:$AJ$584,11,0)</f>
        <v>0</v>
      </c>
      <c r="AP128" s="204">
        <f>VLOOKUP(AK128,'[3]17見直し計画'!$A$50:$AJ$584,12,0)</f>
        <v>0</v>
      </c>
      <c r="AQ128" s="204">
        <f>VLOOKUP(AK128,'[3]17見直し計画'!$A$50:$AJ$584,13,0)</f>
        <v>0</v>
      </c>
      <c r="AR128" s="204">
        <f>VLOOKUP(AK128,'[3]17見直し計画'!$A$50:$AJ$584,14,0)</f>
        <v>0</v>
      </c>
      <c r="AS128" s="204"/>
      <c r="AT128" s="204">
        <f>VLOOKUP(AK128,'[3]17見直し計画'!$A$50:$AJ$584,35,0)</f>
        <v>0</v>
      </c>
      <c r="AU128" s="204">
        <f>VLOOKUP(AK128,'[3]17見直し計画'!$A$50:$AJ$584,36,0)</f>
        <v>0</v>
      </c>
    </row>
    <row r="129" spans="2:53" ht="105" hidden="1" customHeight="1">
      <c r="B129" s="126" t="s">
        <v>429</v>
      </c>
      <c r="C129" s="143" t="s">
        <v>430</v>
      </c>
      <c r="D129" s="143" t="s">
        <v>431</v>
      </c>
      <c r="E129">
        <f t="shared" si="24"/>
        <v>43</v>
      </c>
      <c r="F129" s="122">
        <v>43</v>
      </c>
      <c r="G129" s="123">
        <v>43</v>
      </c>
      <c r="H129" s="124">
        <v>2200397</v>
      </c>
      <c r="I129" s="125"/>
      <c r="J129" s="124" t="s">
        <v>432</v>
      </c>
      <c r="K129" s="124" t="s">
        <v>433</v>
      </c>
      <c r="L129" s="126"/>
      <c r="M129" s="126"/>
      <c r="N129" s="127" t="s">
        <v>138</v>
      </c>
      <c r="O129" s="128" t="s">
        <v>139</v>
      </c>
      <c r="P129" s="126" t="s">
        <v>122</v>
      </c>
      <c r="Q129" s="129" t="s">
        <v>434</v>
      </c>
      <c r="R129" s="130" t="s">
        <v>435</v>
      </c>
      <c r="S129" s="131" t="s">
        <v>125</v>
      </c>
      <c r="T129" s="132">
        <v>40269</v>
      </c>
      <c r="U129" s="133" t="s">
        <v>436</v>
      </c>
      <c r="V129" s="134" t="s">
        <v>437</v>
      </c>
      <c r="W129" s="118" t="s">
        <v>438</v>
      </c>
      <c r="X129" s="135">
        <v>29096984</v>
      </c>
      <c r="Y129" s="135">
        <v>28833714</v>
      </c>
      <c r="Z129" s="136">
        <v>0.99</v>
      </c>
      <c r="AA129" s="127"/>
      <c r="AB129" s="127"/>
      <c r="AC129" s="127" t="s">
        <v>129</v>
      </c>
      <c r="AD129" s="137" t="s">
        <v>146</v>
      </c>
      <c r="AE129" s="138"/>
      <c r="AF129" s="125"/>
      <c r="AG129" s="117" t="s">
        <v>131</v>
      </c>
      <c r="AH129" s="139" t="s">
        <v>132</v>
      </c>
      <c r="AJ129" s="120"/>
      <c r="AK129" s="120" t="s">
        <v>439</v>
      </c>
      <c r="AL129" s="140" t="str">
        <f>VLOOKUP(AK129,'[3]17見直し計画'!$A$50:$AJ$584,6,0)</f>
        <v>株式会社共同通信リース／
株式会社ラデックス</v>
      </c>
      <c r="AM129" s="140" t="str">
        <f>VLOOKUP(AK129,'[3]17見直し計画'!$A$50:$AJ$584,8,0)</f>
        <v>外電検索システムの賃貸借</v>
      </c>
      <c r="AN129" s="180">
        <f>VLOOKUP(AK129,'[3]17見直し計画'!$A$50:$AJ$584,10,0)</f>
        <v>38443</v>
      </c>
      <c r="AO129" s="141">
        <f>VLOOKUP(AK129,'[3]17見直し計画'!$A$50:$AJ$584,11,0)</f>
        <v>12747168</v>
      </c>
      <c r="AP129" s="140" t="str">
        <f>VLOOKUP(AK129,'[3]17見直し計画'!$A$50:$AJ$584,12,0)</f>
        <v>平成１６年度において平成２１年１２月３１日までの賃貸借を前提として構築したシステム利用経費の継続契約（会計法第２９条の３第４項、特定政令に該当）。</v>
      </c>
      <c r="AQ129" s="140" t="str">
        <f>VLOOKUP(AK129,'[3]17見直し計画'!$A$50:$AJ$584,13,0)</f>
        <v>見直しの余地があるもの</v>
      </c>
      <c r="AR129" s="140" t="str">
        <f>VLOOKUP(AK129,'[3]17見直し計画'!$A$50:$AJ$584,14,0)</f>
        <v>１８年度において当該事務・事業の委託を行わないもの</v>
      </c>
      <c r="AS129" s="140"/>
      <c r="AT129" s="140">
        <f>VLOOKUP(AK129,'[3]17見直し計画'!$A$50:$AJ$584,35,0)</f>
        <v>0</v>
      </c>
      <c r="AU129" s="140">
        <f>VLOOKUP(AK129,'[3]17見直し計画'!$A$50:$AJ$584,36,0)</f>
        <v>0</v>
      </c>
      <c r="AV129" s="766" t="s">
        <v>440</v>
      </c>
      <c r="AW129" s="767"/>
      <c r="AX129" s="767"/>
      <c r="AY129" s="767"/>
      <c r="AZ129" s="767"/>
      <c r="BA129" s="767"/>
    </row>
    <row r="130" spans="2:53" ht="105" hidden="1" customHeight="1">
      <c r="B130" s="126" t="s">
        <v>193</v>
      </c>
      <c r="C130" s="143" t="s">
        <v>135</v>
      </c>
      <c r="D130" s="143" t="s">
        <v>136</v>
      </c>
      <c r="E130">
        <f t="shared" si="24"/>
        <v>44</v>
      </c>
      <c r="F130" s="122">
        <v>44</v>
      </c>
      <c r="G130" s="123">
        <v>44</v>
      </c>
      <c r="H130" s="124">
        <v>2200226</v>
      </c>
      <c r="I130" s="125"/>
      <c r="J130" s="124" t="s">
        <v>441</v>
      </c>
      <c r="K130" s="124" t="s">
        <v>195</v>
      </c>
      <c r="L130" s="126"/>
      <c r="M130" s="126"/>
      <c r="N130" s="127" t="s">
        <v>138</v>
      </c>
      <c r="O130" s="128" t="s">
        <v>139</v>
      </c>
      <c r="P130" s="126" t="s">
        <v>122</v>
      </c>
      <c r="Q130" s="129" t="s">
        <v>442</v>
      </c>
      <c r="R130" s="130" t="s">
        <v>443</v>
      </c>
      <c r="S130" s="131" t="s">
        <v>125</v>
      </c>
      <c r="T130" s="132">
        <v>40269</v>
      </c>
      <c r="U130" s="133" t="s">
        <v>198</v>
      </c>
      <c r="V130" s="134" t="s">
        <v>199</v>
      </c>
      <c r="W130" s="118" t="s">
        <v>408</v>
      </c>
      <c r="X130" s="135">
        <v>28563648</v>
      </c>
      <c r="Y130" s="135">
        <v>28563648</v>
      </c>
      <c r="Z130" s="136">
        <v>1</v>
      </c>
      <c r="AA130" s="127"/>
      <c r="AB130" s="127"/>
      <c r="AC130" s="127" t="s">
        <v>129</v>
      </c>
      <c r="AD130" s="137" t="s">
        <v>146</v>
      </c>
      <c r="AE130" s="138"/>
      <c r="AF130" s="125"/>
      <c r="AG130" s="117" t="s">
        <v>131</v>
      </c>
      <c r="AH130" s="139" t="s">
        <v>132</v>
      </c>
      <c r="AJ130" s="120" t="s">
        <v>156</v>
      </c>
      <c r="AK130" s="120" t="s">
        <v>147</v>
      </c>
      <c r="AL130" s="140" t="str">
        <f>VLOOKUP(AK130,'[3]17見直し計画'!$A$50:$AJ$584,6,0)</f>
        <v>　見直し計画策定以降の新規案件</v>
      </c>
      <c r="AM130" s="140">
        <f>VLOOKUP(AK130,'[3]17見直し計画'!$A$50:$AJ$584,8,0)</f>
        <v>0</v>
      </c>
      <c r="AN130" s="180"/>
      <c r="AO130" s="141">
        <f>VLOOKUP(AK130,'[3]17見直し計画'!$A$50:$AJ$584,11,0)</f>
        <v>0</v>
      </c>
      <c r="AP130" s="140">
        <f>VLOOKUP(AK130,'[3]17見直し計画'!$A$50:$AJ$584,12,0)</f>
        <v>0</v>
      </c>
      <c r="AQ130" s="140">
        <f>VLOOKUP(AK130,'[3]17見直し計画'!$A$50:$AJ$584,13,0)</f>
        <v>0</v>
      </c>
      <c r="AR130" s="140">
        <f>VLOOKUP(AK130,'[3]17見直し計画'!$A$50:$AJ$584,14,0)</f>
        <v>0</v>
      </c>
      <c r="AS130" s="140"/>
      <c r="AT130" s="140">
        <f>VLOOKUP(AK130,'[3]17見直し計画'!$A$50:$AJ$584,35,0)</f>
        <v>0</v>
      </c>
      <c r="AU130" s="140">
        <f>VLOOKUP(AK130,'[3]17見直し計画'!$A$50:$AJ$584,36,0)</f>
        <v>0</v>
      </c>
    </row>
    <row r="131" spans="2:53" ht="105" hidden="1" customHeight="1">
      <c r="B131" s="126" t="s">
        <v>149</v>
      </c>
      <c r="C131" s="143" t="s">
        <v>135</v>
      </c>
      <c r="D131" s="143" t="s">
        <v>159</v>
      </c>
      <c r="E131">
        <f t="shared" si="24"/>
        <v>45</v>
      </c>
      <c r="F131" s="122">
        <v>45</v>
      </c>
      <c r="G131" s="123">
        <v>45</v>
      </c>
      <c r="H131" s="124">
        <v>2200178</v>
      </c>
      <c r="I131" s="125"/>
      <c r="J131" s="124" t="s">
        <v>444</v>
      </c>
      <c r="K131" s="124" t="s">
        <v>445</v>
      </c>
      <c r="L131" s="126"/>
      <c r="M131" s="126"/>
      <c r="N131" s="127" t="s">
        <v>138</v>
      </c>
      <c r="O131" s="128" t="s">
        <v>139</v>
      </c>
      <c r="P131" s="126" t="s">
        <v>122</v>
      </c>
      <c r="Q131" s="129" t="s">
        <v>446</v>
      </c>
      <c r="R131" s="130" t="s">
        <v>447</v>
      </c>
      <c r="S131" s="131" t="s">
        <v>125</v>
      </c>
      <c r="T131" s="132">
        <v>40269</v>
      </c>
      <c r="U131" s="133" t="s">
        <v>448</v>
      </c>
      <c r="V131" s="134" t="s">
        <v>449</v>
      </c>
      <c r="W131" s="118" t="s">
        <v>408</v>
      </c>
      <c r="X131" s="135">
        <v>29099700</v>
      </c>
      <c r="Y131" s="135">
        <v>28434420</v>
      </c>
      <c r="Z131" s="136">
        <v>0.97699999999999998</v>
      </c>
      <c r="AA131" s="127"/>
      <c r="AB131" s="127"/>
      <c r="AC131" s="127" t="s">
        <v>129</v>
      </c>
      <c r="AD131" s="137" t="s">
        <v>146</v>
      </c>
      <c r="AE131" s="138"/>
      <c r="AF131" s="125"/>
      <c r="AG131" s="117" t="s">
        <v>131</v>
      </c>
      <c r="AH131" s="139" t="s">
        <v>132</v>
      </c>
      <c r="AI131" s="177"/>
      <c r="AJ131" s="120"/>
      <c r="AK131" s="120" t="s">
        <v>147</v>
      </c>
      <c r="AL131" s="140" t="str">
        <f>VLOOKUP(AK131,'[3]17見直し計画'!$A$50:$AJ$584,6,0)</f>
        <v>　見直し計画策定以降の新規案件</v>
      </c>
      <c r="AM131" s="140">
        <f>VLOOKUP(AK131,'[3]17見直し計画'!$A$50:$AJ$584,8,0)</f>
        <v>0</v>
      </c>
      <c r="AN131" s="180"/>
      <c r="AO131" s="141">
        <f>VLOOKUP(AK131,'[3]17見直し計画'!$A$50:$AJ$584,11,0)</f>
        <v>0</v>
      </c>
      <c r="AP131" s="140">
        <f>VLOOKUP(AK131,'[3]17見直し計画'!$A$50:$AJ$584,12,0)</f>
        <v>0</v>
      </c>
      <c r="AQ131" s="140">
        <f>VLOOKUP(AK131,'[3]17見直し計画'!$A$50:$AJ$584,13,0)</f>
        <v>0</v>
      </c>
      <c r="AR131" s="140">
        <f>VLOOKUP(AK131,'[3]17見直し計画'!$A$50:$AJ$584,14,0)</f>
        <v>0</v>
      </c>
      <c r="AS131" s="140"/>
      <c r="AT131" s="140">
        <f>VLOOKUP(AK131,'[3]17見直し計画'!$A$50:$AJ$584,35,0)</f>
        <v>0</v>
      </c>
      <c r="AU131" s="140">
        <f>VLOOKUP(AK131,'[3]17見直し計画'!$A$50:$AJ$584,36,0)</f>
        <v>0</v>
      </c>
    </row>
    <row r="132" spans="2:53" ht="105" hidden="1" customHeight="1">
      <c r="B132" s="189"/>
      <c r="C132" s="223"/>
      <c r="D132" s="223" t="s">
        <v>421</v>
      </c>
      <c r="E132" s="184">
        <f t="shared" si="24"/>
        <v>46</v>
      </c>
      <c r="F132" s="185">
        <v>46</v>
      </c>
      <c r="G132" s="186">
        <v>46</v>
      </c>
      <c r="H132" s="187">
        <v>2200259</v>
      </c>
      <c r="I132" s="188"/>
      <c r="J132" s="187" t="s">
        <v>450</v>
      </c>
      <c r="K132" s="187" t="s">
        <v>195</v>
      </c>
      <c r="L132" s="189"/>
      <c r="M132" s="189"/>
      <c r="N132" s="190" t="s">
        <v>230</v>
      </c>
      <c r="O132" s="191" t="s">
        <v>139</v>
      </c>
      <c r="P132" s="189" t="s">
        <v>231</v>
      </c>
      <c r="Q132" s="192" t="s">
        <v>451</v>
      </c>
      <c r="R132" s="193" t="s">
        <v>452</v>
      </c>
      <c r="S132" s="194" t="s">
        <v>125</v>
      </c>
      <c r="T132" s="195">
        <v>40269</v>
      </c>
      <c r="U132" s="196" t="s">
        <v>453</v>
      </c>
      <c r="V132" s="197" t="s">
        <v>454</v>
      </c>
      <c r="W132" s="181" t="s">
        <v>236</v>
      </c>
      <c r="X132" s="198">
        <v>24710000</v>
      </c>
      <c r="Y132" s="198">
        <v>24696000</v>
      </c>
      <c r="Z132" s="199">
        <v>0.999</v>
      </c>
      <c r="AA132" s="190"/>
      <c r="AB132" s="190"/>
      <c r="AC132" s="190">
        <v>3</v>
      </c>
      <c r="AD132" s="200" t="s">
        <v>237</v>
      </c>
      <c r="AE132" s="201"/>
      <c r="AF132" s="188"/>
      <c r="AG132" s="202" t="s">
        <v>131</v>
      </c>
      <c r="AH132" s="203" t="s">
        <v>238</v>
      </c>
      <c r="AI132" s="184"/>
      <c r="AJ132" s="182"/>
      <c r="AK132" s="182" t="s">
        <v>147</v>
      </c>
      <c r="AL132" s="204" t="str">
        <f>VLOOKUP(AK132,'[3]17見直し計画'!$A$50:$AJ$584,6,0)</f>
        <v>　見直し計画策定以降の新規案件</v>
      </c>
      <c r="AM132" s="204">
        <f>VLOOKUP(AK132,'[3]17見直し計画'!$A$50:$AJ$584,8,0)</f>
        <v>0</v>
      </c>
      <c r="AN132" s="224"/>
      <c r="AO132" s="205">
        <f>VLOOKUP(AK132,'[3]17見直し計画'!$A$50:$AJ$584,11,0)</f>
        <v>0</v>
      </c>
      <c r="AP132" s="204">
        <f>VLOOKUP(AK132,'[3]17見直し計画'!$A$50:$AJ$584,12,0)</f>
        <v>0</v>
      </c>
      <c r="AQ132" s="204">
        <f>VLOOKUP(AK132,'[3]17見直し計画'!$A$50:$AJ$584,13,0)</f>
        <v>0</v>
      </c>
      <c r="AR132" s="204">
        <f>VLOOKUP(AK132,'[3]17見直し計画'!$A$50:$AJ$584,14,0)</f>
        <v>0</v>
      </c>
      <c r="AS132" s="204"/>
      <c r="AT132" s="204">
        <f>VLOOKUP(AK132,'[3]17見直し計画'!$A$50:$AJ$584,35,0)</f>
        <v>0</v>
      </c>
      <c r="AU132" s="204">
        <f>VLOOKUP(AK132,'[3]17見直し計画'!$A$50:$AJ$584,36,0)</f>
        <v>0</v>
      </c>
    </row>
    <row r="133" spans="2:53" ht="105" hidden="1" customHeight="1">
      <c r="B133" s="126" t="s">
        <v>213</v>
      </c>
      <c r="C133" s="143" t="s">
        <v>135</v>
      </c>
      <c r="D133" s="143" t="s">
        <v>136</v>
      </c>
      <c r="E133">
        <f t="shared" si="24"/>
        <v>47</v>
      </c>
      <c r="F133" s="122">
        <v>47</v>
      </c>
      <c r="G133" s="123">
        <v>47</v>
      </c>
      <c r="H133" s="124">
        <v>2200081</v>
      </c>
      <c r="I133" s="125"/>
      <c r="J133" s="124" t="s">
        <v>455</v>
      </c>
      <c r="K133" s="124" t="s">
        <v>137</v>
      </c>
      <c r="L133" s="126"/>
      <c r="M133" s="126"/>
      <c r="N133" s="127" t="s">
        <v>186</v>
      </c>
      <c r="O133" s="128" t="s">
        <v>187</v>
      </c>
      <c r="P133" s="126" t="s">
        <v>122</v>
      </c>
      <c r="Q133" s="129" t="s">
        <v>456</v>
      </c>
      <c r="R133" s="130" t="s">
        <v>457</v>
      </c>
      <c r="S133" s="131" t="s">
        <v>125</v>
      </c>
      <c r="T133" s="132">
        <v>40269</v>
      </c>
      <c r="U133" s="133" t="s">
        <v>190</v>
      </c>
      <c r="V133" s="134" t="s">
        <v>143</v>
      </c>
      <c r="W133" s="118" t="s">
        <v>458</v>
      </c>
      <c r="X133" s="135">
        <v>23572704</v>
      </c>
      <c r="Y133" s="135">
        <v>23572704</v>
      </c>
      <c r="Z133" s="136">
        <v>1</v>
      </c>
      <c r="AA133" s="127"/>
      <c r="AB133" s="127"/>
      <c r="AC133" s="127" t="s">
        <v>129</v>
      </c>
      <c r="AD133" s="137" t="s">
        <v>192</v>
      </c>
      <c r="AE133" s="138"/>
      <c r="AF133" s="125"/>
      <c r="AG133" s="117" t="s">
        <v>131</v>
      </c>
      <c r="AH133" s="139" t="s">
        <v>132</v>
      </c>
      <c r="AJ133" s="120"/>
      <c r="AK133" s="120" t="s">
        <v>147</v>
      </c>
      <c r="AL133" s="140" t="str">
        <f>VLOOKUP(AK133,'[3]17見直し計画'!$A$50:$AJ$584,6,0)</f>
        <v>　見直し計画策定以降の新規案件</v>
      </c>
      <c r="AM133" s="140">
        <f>VLOOKUP(AK133,'[3]17見直し計画'!$A$50:$AJ$584,8,0)</f>
        <v>0</v>
      </c>
      <c r="AN133" s="180"/>
      <c r="AO133" s="141">
        <f>VLOOKUP(AK133,'[3]17見直し計画'!$A$50:$AJ$584,11,0)</f>
        <v>0</v>
      </c>
      <c r="AP133" s="140">
        <f>VLOOKUP(AK133,'[3]17見直し計画'!$A$50:$AJ$584,12,0)</f>
        <v>0</v>
      </c>
      <c r="AQ133" s="140">
        <f>VLOOKUP(AK133,'[3]17見直し計画'!$A$50:$AJ$584,13,0)</f>
        <v>0</v>
      </c>
      <c r="AR133" s="140">
        <f>VLOOKUP(AK133,'[3]17見直し計画'!$A$50:$AJ$584,14,0)</f>
        <v>0</v>
      </c>
      <c r="AS133" s="140"/>
      <c r="AT133" s="140">
        <f>VLOOKUP(AK133,'[3]17見直し計画'!$A$50:$AJ$584,35,0)</f>
        <v>0</v>
      </c>
      <c r="AU133" s="140">
        <f>VLOOKUP(AK133,'[3]17見直し計画'!$A$50:$AJ$584,36,0)</f>
        <v>0</v>
      </c>
    </row>
    <row r="134" spans="2:53" ht="173.25" hidden="1" customHeight="1">
      <c r="B134" s="159"/>
      <c r="C134" s="153"/>
      <c r="D134" s="153" t="s">
        <v>459</v>
      </c>
      <c r="E134" s="154">
        <f t="shared" si="24"/>
        <v>48</v>
      </c>
      <c r="F134" s="155">
        <v>48</v>
      </c>
      <c r="G134" s="156">
        <v>48</v>
      </c>
      <c r="H134" s="157">
        <v>2200260</v>
      </c>
      <c r="I134" s="158"/>
      <c r="J134" s="157" t="s">
        <v>460</v>
      </c>
      <c r="K134" s="157" t="s">
        <v>461</v>
      </c>
      <c r="L134" s="159"/>
      <c r="M134" s="159"/>
      <c r="N134" s="160" t="s">
        <v>266</v>
      </c>
      <c r="O134" s="161" t="s">
        <v>139</v>
      </c>
      <c r="P134" s="159" t="s">
        <v>163</v>
      </c>
      <c r="Q134" s="162" t="s">
        <v>462</v>
      </c>
      <c r="R134" s="163" t="s">
        <v>463</v>
      </c>
      <c r="S134" s="164" t="s">
        <v>125</v>
      </c>
      <c r="T134" s="165">
        <v>40269</v>
      </c>
      <c r="U134" s="166" t="s">
        <v>222</v>
      </c>
      <c r="V134" s="167" t="s">
        <v>333</v>
      </c>
      <c r="W134" s="151" t="s">
        <v>168</v>
      </c>
      <c r="X134" s="168">
        <v>24948000</v>
      </c>
      <c r="Y134" s="168">
        <v>23675904</v>
      </c>
      <c r="Z134" s="169">
        <v>0.94899999999999995</v>
      </c>
      <c r="AA134" s="160"/>
      <c r="AB134" s="160"/>
      <c r="AC134" s="160" t="s">
        <v>169</v>
      </c>
      <c r="AD134" s="170" t="s">
        <v>271</v>
      </c>
      <c r="AE134" s="171"/>
      <c r="AF134" s="158"/>
      <c r="AG134" s="172" t="s">
        <v>131</v>
      </c>
      <c r="AH134" s="173" t="s">
        <v>171</v>
      </c>
      <c r="AI134" s="154"/>
      <c r="AJ134" s="152"/>
      <c r="AK134" s="152" t="s">
        <v>464</v>
      </c>
      <c r="AL134" s="174" t="str">
        <f>VLOOKUP(AK134,'[3]17見直し計画'!$A$50:$AJ$584,6,0)</f>
        <v>富士通株式会社</v>
      </c>
      <c r="AM134" s="174" t="str">
        <f>VLOOKUP(AK134,'[3]17見直し計画'!$A$50:$AJ$584,8,0)</f>
        <v>「領事関連データ管理システム」運用サポート担当者常駐契約</v>
      </c>
      <c r="AN134" s="225">
        <f>VLOOKUP(AK134,'[3]17見直し計画'!$A$50:$AJ$584,10,0)</f>
        <v>38443</v>
      </c>
      <c r="AO134" s="175">
        <f>VLOOKUP(AK134,'[3]17見直し計画'!$A$50:$AJ$584,11,0)</f>
        <v>18774000</v>
      </c>
      <c r="AP134" s="174" t="str">
        <f>VLOOKUP(AK134,'[3]17見直し計画'!$A$50:$AJ$584,12,0)</f>
        <v>本システムの開発を行った会社が同システムの保守を行うものであり、競争を許さない（会計法第２９条の３第４項、特例政令に該当）。</v>
      </c>
      <c r="AQ134" s="174" t="str">
        <f>VLOOKUP(AK134,'[3]17見直し計画'!$A$50:$AJ$584,13,0)</f>
        <v>見直しの余地があるもの</v>
      </c>
      <c r="AR134" s="174" t="str">
        <f>VLOOKUP(AK134,'[3]17見直し計画'!$A$50:$AJ$584,14,0)</f>
        <v>競争入札の実施を検討（新システムを構築の場合には実施を検討）</v>
      </c>
      <c r="AS134" s="174"/>
      <c r="AT134" s="174" t="str">
        <f>VLOOKUP(AK134,'[3]17見直し計画'!$A$50:$AJ$584,35,0)</f>
        <v>政府調達
平成２０年度中にシステムを稼働させる機器を入れ換える予定であるため(２１年３月に在留届電子届出システム保守運用支援とあわせて公募を行う予定）
（H21.1.26調査回答）
平成21年2月に在留届電子届出システム保守運用支援とあわせて公募を実施。</v>
      </c>
      <c r="AU134" s="174" t="str">
        <f>VLOOKUP(AK134,'[3]17見直し計画'!$A$50:$AJ$584,36,0)</f>
        <v>平成２１年３月
公募予定
（H21.1.26調査回答）
平成２１年２月
公募実施</v>
      </c>
    </row>
    <row r="135" spans="2:53" ht="105" hidden="1" customHeight="1">
      <c r="B135" s="126" t="s">
        <v>134</v>
      </c>
      <c r="C135" s="143" t="s">
        <v>135</v>
      </c>
      <c r="D135" s="143" t="s">
        <v>136</v>
      </c>
      <c r="E135">
        <f t="shared" si="24"/>
        <v>49</v>
      </c>
      <c r="F135" s="122">
        <v>49</v>
      </c>
      <c r="G135" s="123">
        <v>49</v>
      </c>
      <c r="H135" s="124">
        <v>2200093</v>
      </c>
      <c r="I135" s="125"/>
      <c r="J135" s="124" t="s">
        <v>465</v>
      </c>
      <c r="K135" s="124" t="s">
        <v>195</v>
      </c>
      <c r="L135" s="126"/>
      <c r="M135" s="126"/>
      <c r="N135" s="127" t="s">
        <v>138</v>
      </c>
      <c r="O135" s="128" t="s">
        <v>139</v>
      </c>
      <c r="P135" s="126" t="s">
        <v>122</v>
      </c>
      <c r="Q135" s="129" t="s">
        <v>466</v>
      </c>
      <c r="R135" s="130" t="s">
        <v>467</v>
      </c>
      <c r="S135" s="131" t="s">
        <v>125</v>
      </c>
      <c r="T135" s="132">
        <v>40269</v>
      </c>
      <c r="U135" s="133" t="s">
        <v>468</v>
      </c>
      <c r="V135" s="134" t="s">
        <v>469</v>
      </c>
      <c r="W135" s="118" t="s">
        <v>470</v>
      </c>
      <c r="X135" s="135">
        <v>21546000</v>
      </c>
      <c r="Y135" s="135">
        <v>21546000</v>
      </c>
      <c r="Z135" s="136">
        <v>1</v>
      </c>
      <c r="AA135" s="127"/>
      <c r="AB135" s="127"/>
      <c r="AC135" s="127" t="s">
        <v>129</v>
      </c>
      <c r="AD135" s="137" t="s">
        <v>146</v>
      </c>
      <c r="AE135" s="138"/>
      <c r="AF135" s="125"/>
      <c r="AG135" s="117" t="s">
        <v>131</v>
      </c>
      <c r="AH135" s="139" t="s">
        <v>132</v>
      </c>
      <c r="AJ135" s="120"/>
      <c r="AK135" s="120" t="s">
        <v>147</v>
      </c>
      <c r="AL135" s="140" t="str">
        <f>VLOOKUP(AK135,'[3]17見直し計画'!$A$50:$AJ$584,6,0)</f>
        <v>　見直し計画策定以降の新規案件</v>
      </c>
      <c r="AM135" s="140">
        <f>VLOOKUP(AK135,'[3]17見直し計画'!$A$50:$AJ$584,8,0)</f>
        <v>0</v>
      </c>
      <c r="AN135" s="180"/>
      <c r="AO135" s="141">
        <f>VLOOKUP(AK135,'[3]17見直し計画'!$A$50:$AJ$584,11,0)</f>
        <v>0</v>
      </c>
      <c r="AP135" s="140">
        <f>VLOOKUP(AK135,'[3]17見直し計画'!$A$50:$AJ$584,12,0)</f>
        <v>0</v>
      </c>
      <c r="AQ135" s="140">
        <f>VLOOKUP(AK135,'[3]17見直し計画'!$A$50:$AJ$584,13,0)</f>
        <v>0</v>
      </c>
      <c r="AR135" s="140">
        <f>VLOOKUP(AK135,'[3]17見直し計画'!$A$50:$AJ$584,14,0)</f>
        <v>0</v>
      </c>
      <c r="AS135" s="140"/>
      <c r="AT135" s="140">
        <f>VLOOKUP(AK135,'[3]17見直し計画'!$A$50:$AJ$584,35,0)</f>
        <v>0</v>
      </c>
      <c r="AU135" s="140">
        <f>VLOOKUP(AK135,'[3]17見直し計画'!$A$50:$AJ$584,36,0)</f>
        <v>0</v>
      </c>
    </row>
    <row r="136" spans="2:53" ht="105" hidden="1" customHeight="1">
      <c r="B136" s="126" t="s">
        <v>193</v>
      </c>
      <c r="C136" s="143" t="s">
        <v>135</v>
      </c>
      <c r="D136" s="143" t="s">
        <v>136</v>
      </c>
      <c r="E136">
        <f t="shared" si="24"/>
        <v>50</v>
      </c>
      <c r="F136" s="122">
        <v>50</v>
      </c>
      <c r="G136" s="123">
        <v>50</v>
      </c>
      <c r="H136" s="124">
        <v>2200080</v>
      </c>
      <c r="I136" s="125"/>
      <c r="J136" s="124" t="s">
        <v>471</v>
      </c>
      <c r="K136" s="124" t="s">
        <v>137</v>
      </c>
      <c r="L136" s="126"/>
      <c r="M136" s="126"/>
      <c r="N136" s="127" t="s">
        <v>138</v>
      </c>
      <c r="O136" s="128" t="s">
        <v>139</v>
      </c>
      <c r="P136" s="126" t="s">
        <v>122</v>
      </c>
      <c r="Q136" s="129" t="s">
        <v>472</v>
      </c>
      <c r="R136" s="130" t="s">
        <v>473</v>
      </c>
      <c r="S136" s="131" t="s">
        <v>125</v>
      </c>
      <c r="T136" s="132">
        <v>40269</v>
      </c>
      <c r="U136" s="133" t="s">
        <v>474</v>
      </c>
      <c r="V136" s="134" t="s">
        <v>475</v>
      </c>
      <c r="W136" s="118" t="s">
        <v>128</v>
      </c>
      <c r="X136" s="135">
        <v>21158322</v>
      </c>
      <c r="Y136" s="135">
        <v>21158322</v>
      </c>
      <c r="Z136" s="136">
        <v>1</v>
      </c>
      <c r="AA136" s="127"/>
      <c r="AB136" s="127"/>
      <c r="AC136" s="127" t="s">
        <v>129</v>
      </c>
      <c r="AD136" s="137" t="s">
        <v>146</v>
      </c>
      <c r="AE136" s="138"/>
      <c r="AF136" s="125"/>
      <c r="AG136" s="117" t="s">
        <v>131</v>
      </c>
      <c r="AH136" s="139" t="s">
        <v>132</v>
      </c>
      <c r="AJ136" s="120"/>
      <c r="AK136" s="120" t="s">
        <v>147</v>
      </c>
      <c r="AL136" s="140" t="str">
        <f>VLOOKUP(AK136,'[3]17見直し計画'!$A$50:$AJ$584,6,0)</f>
        <v>　見直し計画策定以降の新規案件</v>
      </c>
      <c r="AM136" s="140">
        <f>VLOOKUP(AK136,'[3]17見直し計画'!$A$50:$AJ$584,8,0)</f>
        <v>0</v>
      </c>
      <c r="AN136" s="180"/>
      <c r="AO136" s="141">
        <f>VLOOKUP(AK136,'[3]17見直し計画'!$A$50:$AJ$584,11,0)</f>
        <v>0</v>
      </c>
      <c r="AP136" s="140">
        <f>VLOOKUP(AK136,'[3]17見直し計画'!$A$50:$AJ$584,12,0)</f>
        <v>0</v>
      </c>
      <c r="AQ136" s="140">
        <f>VLOOKUP(AK136,'[3]17見直し計画'!$A$50:$AJ$584,13,0)</f>
        <v>0</v>
      </c>
      <c r="AR136" s="140">
        <f>VLOOKUP(AK136,'[3]17見直し計画'!$A$50:$AJ$584,14,0)</f>
        <v>0</v>
      </c>
      <c r="AS136" s="140"/>
      <c r="AT136" s="140">
        <f>VLOOKUP(AK136,'[3]17見直し計画'!$A$50:$AJ$584,35,0)</f>
        <v>0</v>
      </c>
      <c r="AU136" s="140">
        <f>VLOOKUP(AK136,'[3]17見直し計画'!$A$50:$AJ$584,36,0)</f>
        <v>0</v>
      </c>
    </row>
    <row r="137" spans="2:53" ht="105" customHeight="1">
      <c r="B137" s="143" t="s">
        <v>476</v>
      </c>
      <c r="C137" s="143" t="s">
        <v>350</v>
      </c>
      <c r="D137" s="143" t="s">
        <v>477</v>
      </c>
      <c r="E137">
        <f t="shared" si="24"/>
        <v>51</v>
      </c>
      <c r="F137" s="122">
        <v>51</v>
      </c>
      <c r="G137" s="123">
        <v>51</v>
      </c>
      <c r="H137" s="124">
        <v>2200272</v>
      </c>
      <c r="I137" s="125"/>
      <c r="J137" s="126" t="s">
        <v>478</v>
      </c>
      <c r="K137" s="124" t="s">
        <v>479</v>
      </c>
      <c r="L137" s="126"/>
      <c r="M137" s="126"/>
      <c r="N137" s="127" t="s">
        <v>138</v>
      </c>
      <c r="O137" s="128" t="s">
        <v>139</v>
      </c>
      <c r="P137" s="126" t="s">
        <v>122</v>
      </c>
      <c r="Q137" s="129" t="s">
        <v>480</v>
      </c>
      <c r="R137" s="130" t="s">
        <v>481</v>
      </c>
      <c r="S137" s="131" t="s">
        <v>125</v>
      </c>
      <c r="T137" s="132">
        <v>40269</v>
      </c>
      <c r="U137" s="133" t="s">
        <v>482</v>
      </c>
      <c r="V137" s="134" t="s">
        <v>483</v>
      </c>
      <c r="W137" s="118" t="s">
        <v>484</v>
      </c>
      <c r="X137" s="135">
        <v>19815948</v>
      </c>
      <c r="Y137" s="135">
        <v>19815948</v>
      </c>
      <c r="Z137" s="136">
        <v>1</v>
      </c>
      <c r="AA137" s="127"/>
      <c r="AB137" s="127"/>
      <c r="AC137" s="127" t="s">
        <v>129</v>
      </c>
      <c r="AD137" s="137" t="s">
        <v>146</v>
      </c>
      <c r="AE137" s="138"/>
      <c r="AF137" s="125"/>
      <c r="AG137" s="117" t="s">
        <v>131</v>
      </c>
      <c r="AH137" s="139" t="s">
        <v>132</v>
      </c>
      <c r="AJ137" s="120"/>
      <c r="AK137" s="120" t="s">
        <v>485</v>
      </c>
      <c r="AL137" s="140" t="str">
        <f>VLOOKUP(AK137,'[3]17見直し計画'!$A$50:$AJ$584,6,0)</f>
        <v>大同火災海上保険株式会社</v>
      </c>
      <c r="AM137" s="140" t="str">
        <f>VLOOKUP(AK137,'[3]17見直し計画'!$A$50:$AJ$584,8,0)</f>
        <v>「沖縄事務所建物」賃貸借契約</v>
      </c>
      <c r="AN137" s="180">
        <f>VLOOKUP(AK137,'[3]17見直し計画'!$A$50:$AJ$584,10,0)</f>
        <v>38443</v>
      </c>
      <c r="AO137" s="141">
        <f>VLOOKUP(AK137,'[3]17見直し計画'!$A$50:$AJ$584,11,0)</f>
        <v>21373056</v>
      </c>
      <c r="AP137" s="140" t="str">
        <f>VLOOKUP(AK137,'[3]17見直し計画'!$A$50:$AJ$584,12,0)</f>
        <v>契約目的、行政効率等を勘案すれば、契約物件に代替可能な物件は見あたらない事から他に競争を許さない（会計法第２９条の３第４項）。</v>
      </c>
      <c r="AQ137" s="140" t="str">
        <f>VLOOKUP(AK137,'[3]17見直し計画'!$A$50:$AJ$584,13,0)</f>
        <v>その他のもの</v>
      </c>
      <c r="AR137" s="140" t="str">
        <f>VLOOKUP(AK137,'[3]17見直し計画'!$A$50:$AJ$584,14,0)</f>
        <v>随意契約によらざるを得ないもの</v>
      </c>
      <c r="AS137" s="140"/>
      <c r="AT137" s="140" t="str">
        <f>VLOOKUP(AK137,'[3]17見直し計画'!$A$50:$AJ$584,35,0)</f>
        <v>場所が限定される賃貸借その他業務</v>
      </c>
      <c r="AU137" s="140" t="str">
        <f>VLOOKUP(AK137,'[3]17見直し計画'!$A$50:$AJ$584,36,0)</f>
        <v>ロ</v>
      </c>
    </row>
    <row r="138" spans="2:53" ht="105" hidden="1" customHeight="1">
      <c r="B138" s="126" t="s">
        <v>213</v>
      </c>
      <c r="C138" s="143" t="s">
        <v>135</v>
      </c>
      <c r="D138" s="143" t="s">
        <v>136</v>
      </c>
      <c r="E138">
        <f>SUM(E137+1)</f>
        <v>52</v>
      </c>
      <c r="F138" s="122">
        <v>52</v>
      </c>
      <c r="G138" s="123">
        <v>52</v>
      </c>
      <c r="H138" s="124">
        <v>2200077</v>
      </c>
      <c r="I138" s="125"/>
      <c r="J138" s="124" t="s">
        <v>486</v>
      </c>
      <c r="K138" s="124" t="s">
        <v>137</v>
      </c>
      <c r="L138" s="126"/>
      <c r="M138" s="126"/>
      <c r="N138" s="127" t="s">
        <v>186</v>
      </c>
      <c r="O138" s="128" t="s">
        <v>187</v>
      </c>
      <c r="P138" s="126" t="s">
        <v>122</v>
      </c>
      <c r="Q138" s="129" t="s">
        <v>487</v>
      </c>
      <c r="R138" s="130" t="s">
        <v>488</v>
      </c>
      <c r="S138" s="131" t="s">
        <v>125</v>
      </c>
      <c r="T138" s="132">
        <v>40269</v>
      </c>
      <c r="U138" s="133" t="s">
        <v>190</v>
      </c>
      <c r="V138" s="134" t="s">
        <v>143</v>
      </c>
      <c r="W138" s="118" t="s">
        <v>489</v>
      </c>
      <c r="X138" s="135">
        <v>17866380</v>
      </c>
      <c r="Y138" s="135">
        <v>17866380</v>
      </c>
      <c r="Z138" s="136">
        <v>1</v>
      </c>
      <c r="AA138" s="127"/>
      <c r="AB138" s="127"/>
      <c r="AC138" s="127" t="s">
        <v>129</v>
      </c>
      <c r="AD138" s="137" t="s">
        <v>192</v>
      </c>
      <c r="AE138" s="138"/>
      <c r="AF138" s="125"/>
      <c r="AG138" s="117" t="s">
        <v>131</v>
      </c>
      <c r="AH138" s="139" t="s">
        <v>132</v>
      </c>
      <c r="AJ138" s="120"/>
      <c r="AK138" s="120" t="s">
        <v>147</v>
      </c>
      <c r="AL138" s="140" t="str">
        <f>VLOOKUP(AK138,'[3]17見直し計画'!$A$50:$AJ$584,6,0)</f>
        <v>　見直し計画策定以降の新規案件</v>
      </c>
      <c r="AM138" s="140">
        <f>VLOOKUP(AK138,'[3]17見直し計画'!$A$50:$AJ$584,8,0)</f>
        <v>0</v>
      </c>
      <c r="AN138" s="180"/>
      <c r="AO138" s="141">
        <f>VLOOKUP(AK138,'[3]17見直し計画'!$A$50:$AJ$584,11,0)</f>
        <v>0</v>
      </c>
      <c r="AP138" s="140">
        <f>VLOOKUP(AK138,'[3]17見直し計画'!$A$50:$AJ$584,12,0)</f>
        <v>0</v>
      </c>
      <c r="AQ138" s="140">
        <f>VLOOKUP(AK138,'[3]17見直し計画'!$A$50:$AJ$584,13,0)</f>
        <v>0</v>
      </c>
      <c r="AR138" s="140">
        <f>VLOOKUP(AK138,'[3]17見直し計画'!$A$50:$AJ$584,14,0)</f>
        <v>0</v>
      </c>
      <c r="AS138" s="140"/>
      <c r="AT138" s="140">
        <f>VLOOKUP(AK138,'[3]17見直し計画'!$A$50:$AJ$584,35,0)</f>
        <v>0</v>
      </c>
      <c r="AU138" s="140">
        <f>VLOOKUP(AK138,'[3]17見直し計画'!$A$50:$AJ$584,36,0)</f>
        <v>0</v>
      </c>
    </row>
    <row r="139" spans="2:53" ht="196.5" hidden="1" customHeight="1">
      <c r="B139" s="126" t="s">
        <v>149</v>
      </c>
      <c r="C139" s="120" t="s">
        <v>117</v>
      </c>
      <c r="D139" s="226" t="s">
        <v>490</v>
      </c>
      <c r="E139">
        <f t="shared" si="24"/>
        <v>53</v>
      </c>
      <c r="F139" s="122">
        <v>53</v>
      </c>
      <c r="G139" s="123">
        <v>53</v>
      </c>
      <c r="H139" s="124">
        <v>2200088</v>
      </c>
      <c r="I139" s="125"/>
      <c r="J139" s="124" t="s">
        <v>491</v>
      </c>
      <c r="K139" s="124" t="s">
        <v>137</v>
      </c>
      <c r="L139" s="126"/>
      <c r="M139" s="126"/>
      <c r="N139" s="127" t="s">
        <v>138</v>
      </c>
      <c r="O139" s="128" t="s">
        <v>139</v>
      </c>
      <c r="P139" s="126" t="s">
        <v>122</v>
      </c>
      <c r="Q139" s="129" t="s">
        <v>492</v>
      </c>
      <c r="R139" s="130" t="s">
        <v>493</v>
      </c>
      <c r="S139" s="131" t="s">
        <v>125</v>
      </c>
      <c r="T139" s="132">
        <v>40269</v>
      </c>
      <c r="U139" s="133" t="s">
        <v>242</v>
      </c>
      <c r="V139" s="134" t="s">
        <v>243</v>
      </c>
      <c r="W139" s="118" t="s">
        <v>494</v>
      </c>
      <c r="X139" s="135">
        <v>16290096</v>
      </c>
      <c r="Y139" s="135">
        <v>16290096</v>
      </c>
      <c r="Z139" s="136">
        <v>1</v>
      </c>
      <c r="AA139" s="127"/>
      <c r="AB139" s="127"/>
      <c r="AC139" s="127" t="s">
        <v>129</v>
      </c>
      <c r="AD139" s="137" t="s">
        <v>146</v>
      </c>
      <c r="AE139" s="138"/>
      <c r="AF139" s="125"/>
      <c r="AG139" s="117" t="s">
        <v>131</v>
      </c>
      <c r="AH139" s="139" t="s">
        <v>132</v>
      </c>
      <c r="AJ139" s="120"/>
      <c r="AK139" s="120" t="s">
        <v>157</v>
      </c>
      <c r="AL139" s="140" t="str">
        <f>VLOOKUP(AK139,'[3]17見直し計画'!$A$50:$AJ$584,6,0)</f>
        <v>富士通株式会社／センチュリー・リーシング・システム株式会社</v>
      </c>
      <c r="AM139" s="140" t="str">
        <f>VLOOKUP(AK139,'[3]17見直し計画'!$A$50:$AJ$584,8,0)</f>
        <v>旅券発給管理バックアップシステム一式の賃貸借</v>
      </c>
      <c r="AN139" s="180">
        <f>VLOOKUP(AK139,'[3]17見直し計画'!$A$50:$AJ$584,10,0)</f>
        <v>38443</v>
      </c>
      <c r="AO139" s="141">
        <f>VLOOKUP(AK139,'[3]17見直し計画'!$A$50:$AJ$584,11,0)</f>
        <v>86562000</v>
      </c>
      <c r="AP139" s="140" t="str">
        <f>VLOOKUP(AK139,'[3]17見直し計画'!$A$50:$AJ$584,12,0)</f>
        <v>平成１６年度に一般競争入札（賃貸期間４８ヶ月。但し契約自体は単年度）で導入した同システム一式の継続契約（会計法第２９条の３第４項、特例政令に該当）。</v>
      </c>
      <c r="AQ139" s="140" t="str">
        <f>VLOOKUP(AK139,'[3]17見直し計画'!$A$50:$AJ$584,13,0)</f>
        <v>見直しの余地があるもの</v>
      </c>
      <c r="AR139" s="140" t="str">
        <f>VLOOKUP(AK139,'[3]17見直し計画'!$A$50:$AJ$584,14,0)</f>
        <v>競争入札へ移行（平成２１年実施予定）</v>
      </c>
      <c r="AS139" s="140"/>
      <c r="AT139" s="140" t="str">
        <f>VLOOKUP(AK139,'[3]17見直し計画'!$A$50:$AJ$584,35,0)</f>
        <v>平成21年度中にリース期限切れとなるため、平成21年度に一般競争入札により更新予定
(H21.1月26日調査回答）
平成21年度中にリース期限切れとなるため、平成21年度に一般競争入札による更新を予定していたが、更新に係る予算が認められなかったため、平成21年度は再リースにより現機器に係る契約を継続し、平成22年度予算にて再度更新経費を要求の上、当初予算が認められれば一般競争入札にて更新予定。</v>
      </c>
      <c r="AU139" s="140" t="str">
        <f>VLOOKUP(AK139,'[3]17見直し計画'!$A$50:$AJ$584,36,0)</f>
        <v>平成21年度
(H21.1月26日調査回答）
平成22年度以降</v>
      </c>
      <c r="AV139" t="s">
        <v>495</v>
      </c>
    </row>
    <row r="140" spans="2:53" ht="105" hidden="1" customHeight="1">
      <c r="B140" s="126" t="s">
        <v>193</v>
      </c>
      <c r="C140" s="143" t="s">
        <v>135</v>
      </c>
      <c r="D140" s="143" t="s">
        <v>136</v>
      </c>
      <c r="E140">
        <f t="shared" si="24"/>
        <v>54</v>
      </c>
      <c r="F140" s="122">
        <v>54</v>
      </c>
      <c r="G140" s="123">
        <v>54</v>
      </c>
      <c r="H140" s="124">
        <v>2200357</v>
      </c>
      <c r="I140" s="125"/>
      <c r="J140" s="124" t="s">
        <v>496</v>
      </c>
      <c r="K140" s="124" t="s">
        <v>195</v>
      </c>
      <c r="L140" s="126"/>
      <c r="M140" s="126"/>
      <c r="N140" s="127" t="s">
        <v>138</v>
      </c>
      <c r="O140" s="128" t="s">
        <v>139</v>
      </c>
      <c r="P140" s="126" t="s">
        <v>122</v>
      </c>
      <c r="Q140" s="129" t="s">
        <v>497</v>
      </c>
      <c r="R140" s="130" t="s">
        <v>498</v>
      </c>
      <c r="S140" s="131" t="s">
        <v>125</v>
      </c>
      <c r="T140" s="132">
        <v>40269</v>
      </c>
      <c r="U140" s="133" t="s">
        <v>499</v>
      </c>
      <c r="V140" s="134" t="s">
        <v>500</v>
      </c>
      <c r="W140" s="118" t="s">
        <v>128</v>
      </c>
      <c r="X140" s="135">
        <v>15361794</v>
      </c>
      <c r="Y140" s="135">
        <v>15361794</v>
      </c>
      <c r="Z140" s="136">
        <v>1</v>
      </c>
      <c r="AA140" s="127"/>
      <c r="AB140" s="127"/>
      <c r="AC140" s="127" t="s">
        <v>129</v>
      </c>
      <c r="AD140" s="137" t="s">
        <v>146</v>
      </c>
      <c r="AE140" s="138"/>
      <c r="AF140" s="125"/>
      <c r="AG140" s="117" t="s">
        <v>131</v>
      </c>
      <c r="AH140" s="139" t="s">
        <v>132</v>
      </c>
      <c r="AJ140" s="120"/>
      <c r="AK140" s="120" t="s">
        <v>147</v>
      </c>
      <c r="AL140" s="140" t="str">
        <f>VLOOKUP(AK140,'[3]17見直し計画'!$A$50:$AJ$584,6,0)</f>
        <v>　見直し計画策定以降の新規案件</v>
      </c>
      <c r="AM140" s="140">
        <f>VLOOKUP(AK140,'[3]17見直し計画'!$A$50:$AJ$584,8,0)</f>
        <v>0</v>
      </c>
      <c r="AN140" s="180"/>
      <c r="AO140" s="141">
        <f>VLOOKUP(AK140,'[3]17見直し計画'!$A$50:$AJ$584,11,0)</f>
        <v>0</v>
      </c>
      <c r="AP140" s="140">
        <f>VLOOKUP(AK140,'[3]17見直し計画'!$A$50:$AJ$584,12,0)</f>
        <v>0</v>
      </c>
      <c r="AQ140" s="140">
        <f>VLOOKUP(AK140,'[3]17見直し計画'!$A$50:$AJ$584,13,0)</f>
        <v>0</v>
      </c>
      <c r="AR140" s="140">
        <f>VLOOKUP(AK140,'[3]17見直し計画'!$A$50:$AJ$584,14,0)</f>
        <v>0</v>
      </c>
      <c r="AS140" s="140"/>
      <c r="AT140" s="140">
        <f>VLOOKUP(AK140,'[3]17見直し計画'!$A$50:$AJ$584,35,0)</f>
        <v>0</v>
      </c>
      <c r="AU140" s="140">
        <f>VLOOKUP(AK140,'[3]17見直し計画'!$A$50:$AJ$584,36,0)</f>
        <v>0</v>
      </c>
    </row>
    <row r="141" spans="2:53" ht="105" hidden="1" customHeight="1">
      <c r="B141" s="126" t="s">
        <v>335</v>
      </c>
      <c r="C141" s="143" t="s">
        <v>135</v>
      </c>
      <c r="D141" s="143" t="s">
        <v>136</v>
      </c>
      <c r="E141">
        <f t="shared" si="24"/>
        <v>55</v>
      </c>
      <c r="F141" s="122">
        <v>55</v>
      </c>
      <c r="G141" s="123">
        <v>55</v>
      </c>
      <c r="H141" s="124">
        <v>2200497</v>
      </c>
      <c r="I141" s="125"/>
      <c r="J141" s="124"/>
      <c r="K141" s="124" t="s">
        <v>501</v>
      </c>
      <c r="L141" s="126"/>
      <c r="M141" s="126"/>
      <c r="N141" s="127" t="s">
        <v>138</v>
      </c>
      <c r="O141" s="128" t="s">
        <v>139</v>
      </c>
      <c r="P141" s="126" t="s">
        <v>122</v>
      </c>
      <c r="Q141" s="129" t="s">
        <v>502</v>
      </c>
      <c r="R141" s="130" t="s">
        <v>503</v>
      </c>
      <c r="S141" s="131" t="s">
        <v>125</v>
      </c>
      <c r="T141" s="132">
        <v>40269</v>
      </c>
      <c r="U141" s="133" t="s">
        <v>504</v>
      </c>
      <c r="V141" s="134" t="s">
        <v>505</v>
      </c>
      <c r="W141" s="118" t="s">
        <v>506</v>
      </c>
      <c r="X141" s="135">
        <v>14962500</v>
      </c>
      <c r="Y141" s="227">
        <v>6747300</v>
      </c>
      <c r="Z141" s="136" t="e">
        <v>#VALUE!</v>
      </c>
      <c r="AA141" s="127"/>
      <c r="AB141" s="127" t="s">
        <v>507</v>
      </c>
      <c r="AC141" s="127" t="s">
        <v>129</v>
      </c>
      <c r="AD141" s="137" t="s">
        <v>146</v>
      </c>
      <c r="AE141" s="138"/>
      <c r="AF141" s="125"/>
      <c r="AG141" s="117" t="s">
        <v>131</v>
      </c>
      <c r="AH141" s="139" t="s">
        <v>132</v>
      </c>
      <c r="AI141" s="177" t="s">
        <v>156</v>
      </c>
      <c r="AJ141" s="120"/>
      <c r="AK141" s="120" t="s">
        <v>147</v>
      </c>
      <c r="AL141" s="140" t="str">
        <f>VLOOKUP(AK141,'[3]17見直し計画'!$A$50:$AJ$584,6,0)</f>
        <v>　見直し計画策定以降の新規案件</v>
      </c>
      <c r="AM141" s="140">
        <f>VLOOKUP(AK141,'[3]17見直し計画'!$A$50:$AJ$584,8,0)</f>
        <v>0</v>
      </c>
      <c r="AN141" s="180"/>
      <c r="AO141" s="141">
        <f>VLOOKUP(AK141,'[3]17見直し計画'!$A$50:$AJ$584,11,0)</f>
        <v>0</v>
      </c>
      <c r="AP141" s="140">
        <f>VLOOKUP(AK141,'[3]17見直し計画'!$A$50:$AJ$584,12,0)</f>
        <v>0</v>
      </c>
      <c r="AQ141" s="140">
        <f>VLOOKUP(AK141,'[3]17見直し計画'!$A$50:$AJ$584,13,0)</f>
        <v>0</v>
      </c>
      <c r="AR141" s="140">
        <f>VLOOKUP(AK141,'[3]17見直し計画'!$A$50:$AJ$584,14,0)</f>
        <v>0</v>
      </c>
      <c r="AS141" s="140"/>
      <c r="AT141" s="140">
        <f>VLOOKUP(AK141,'[3]17見直し計画'!$A$50:$AJ$584,35,0)</f>
        <v>0</v>
      </c>
      <c r="AU141" s="140">
        <f>VLOOKUP(AK141,'[3]17見直し計画'!$A$50:$AJ$584,36,0)</f>
        <v>0</v>
      </c>
    </row>
    <row r="142" spans="2:53" ht="105" hidden="1" customHeight="1">
      <c r="B142" s="126" t="s">
        <v>184</v>
      </c>
      <c r="C142" s="143" t="s">
        <v>135</v>
      </c>
      <c r="D142" s="143" t="s">
        <v>136</v>
      </c>
      <c r="E142">
        <f t="shared" si="24"/>
        <v>56</v>
      </c>
      <c r="F142" s="122">
        <v>56</v>
      </c>
      <c r="G142" s="123">
        <v>56</v>
      </c>
      <c r="H142" s="124">
        <v>2200120</v>
      </c>
      <c r="I142" s="125"/>
      <c r="J142" s="124" t="s">
        <v>508</v>
      </c>
      <c r="K142" s="124" t="s">
        <v>137</v>
      </c>
      <c r="L142" s="126"/>
      <c r="M142" s="126"/>
      <c r="N142" s="127" t="s">
        <v>186</v>
      </c>
      <c r="O142" s="128" t="s">
        <v>187</v>
      </c>
      <c r="P142" s="126" t="s">
        <v>122</v>
      </c>
      <c r="Q142" s="129" t="s">
        <v>509</v>
      </c>
      <c r="R142" s="130" t="s">
        <v>510</v>
      </c>
      <c r="S142" s="131" t="s">
        <v>125</v>
      </c>
      <c r="T142" s="132">
        <v>40269</v>
      </c>
      <c r="U142" s="133" t="s">
        <v>190</v>
      </c>
      <c r="V142" s="134" t="s">
        <v>143</v>
      </c>
      <c r="W142" s="118" t="s">
        <v>128</v>
      </c>
      <c r="X142" s="135">
        <v>14166276</v>
      </c>
      <c r="Y142" s="135">
        <v>14166276</v>
      </c>
      <c r="Z142" s="136">
        <v>1</v>
      </c>
      <c r="AA142" s="127"/>
      <c r="AB142" s="127"/>
      <c r="AC142" s="127" t="s">
        <v>129</v>
      </c>
      <c r="AD142" s="137" t="s">
        <v>192</v>
      </c>
      <c r="AE142" s="138"/>
      <c r="AF142" s="125"/>
      <c r="AG142" s="117" t="s">
        <v>131</v>
      </c>
      <c r="AH142" s="139" t="s">
        <v>132</v>
      </c>
      <c r="AJ142" s="120"/>
      <c r="AK142" s="120" t="s">
        <v>147</v>
      </c>
      <c r="AL142" s="140" t="str">
        <f>VLOOKUP(AK142,'[3]17見直し計画'!$A$50:$AJ$584,6,0)</f>
        <v>　見直し計画策定以降の新規案件</v>
      </c>
      <c r="AM142" s="140">
        <f>VLOOKUP(AK142,'[3]17見直し計画'!$A$50:$AJ$584,8,0)</f>
        <v>0</v>
      </c>
      <c r="AN142" s="180"/>
      <c r="AO142" s="141">
        <f>VLOOKUP(AK142,'[3]17見直し計画'!$A$50:$AJ$584,11,0)</f>
        <v>0</v>
      </c>
      <c r="AP142" s="140">
        <f>VLOOKUP(AK142,'[3]17見直し計画'!$A$50:$AJ$584,12,0)</f>
        <v>0</v>
      </c>
      <c r="AQ142" s="140">
        <f>VLOOKUP(AK142,'[3]17見直し計画'!$A$50:$AJ$584,13,0)</f>
        <v>0</v>
      </c>
      <c r="AR142" s="140">
        <f>VLOOKUP(AK142,'[3]17見直し計画'!$A$50:$AJ$584,14,0)</f>
        <v>0</v>
      </c>
      <c r="AS142" s="140"/>
      <c r="AT142" s="140">
        <f>VLOOKUP(AK142,'[3]17見直し計画'!$A$50:$AJ$584,35,0)</f>
        <v>0</v>
      </c>
      <c r="AU142" s="140">
        <f>VLOOKUP(AK142,'[3]17見直し計画'!$A$50:$AJ$584,36,0)</f>
        <v>0</v>
      </c>
    </row>
    <row r="143" spans="2:53" ht="105" hidden="1" customHeight="1">
      <c r="B143" s="126" t="s">
        <v>149</v>
      </c>
      <c r="C143" s="143" t="s">
        <v>135</v>
      </c>
      <c r="D143" s="143" t="s">
        <v>136</v>
      </c>
      <c r="E143">
        <f t="shared" si="24"/>
        <v>57</v>
      </c>
      <c r="F143" s="122">
        <v>57</v>
      </c>
      <c r="G143" s="123">
        <v>57</v>
      </c>
      <c r="H143" s="124">
        <v>2200328</v>
      </c>
      <c r="I143" s="125"/>
      <c r="J143" s="124" t="s">
        <v>511</v>
      </c>
      <c r="K143" s="124" t="s">
        <v>195</v>
      </c>
      <c r="L143" s="126"/>
      <c r="M143" s="126"/>
      <c r="N143" s="127" t="s">
        <v>138</v>
      </c>
      <c r="O143" s="128" t="s">
        <v>139</v>
      </c>
      <c r="P143" s="126" t="s">
        <v>122</v>
      </c>
      <c r="Q143" s="129" t="s">
        <v>512</v>
      </c>
      <c r="R143" s="130" t="s">
        <v>513</v>
      </c>
      <c r="S143" s="131" t="s">
        <v>125</v>
      </c>
      <c r="T143" s="132">
        <v>40269</v>
      </c>
      <c r="U143" s="133" t="s">
        <v>514</v>
      </c>
      <c r="V143" s="134" t="s">
        <v>515</v>
      </c>
      <c r="W143" s="118" t="s">
        <v>128</v>
      </c>
      <c r="X143" s="135">
        <v>13254086</v>
      </c>
      <c r="Y143" s="135">
        <v>13254086</v>
      </c>
      <c r="Z143" s="136">
        <v>1</v>
      </c>
      <c r="AA143" s="127"/>
      <c r="AB143" s="127"/>
      <c r="AC143" s="127" t="s">
        <v>129</v>
      </c>
      <c r="AD143" s="137" t="s">
        <v>146</v>
      </c>
      <c r="AE143" s="138"/>
      <c r="AF143" s="125"/>
      <c r="AG143" s="117" t="s">
        <v>131</v>
      </c>
      <c r="AH143" s="139" t="s">
        <v>132</v>
      </c>
      <c r="AJ143" s="179" t="s">
        <v>516</v>
      </c>
      <c r="AK143" s="120" t="s">
        <v>147</v>
      </c>
      <c r="AL143" s="140" t="str">
        <f>VLOOKUP(AK143,'[3]17見直し計画'!$A$50:$AJ$584,6,0)</f>
        <v>　見直し計画策定以降の新規案件</v>
      </c>
      <c r="AM143" s="140">
        <f>VLOOKUP(AK143,'[3]17見直し計画'!$A$50:$AJ$584,8,0)</f>
        <v>0</v>
      </c>
      <c r="AN143" s="180"/>
      <c r="AO143" s="141">
        <f>VLOOKUP(AK143,'[3]17見直し計画'!$A$50:$AJ$584,11,0)</f>
        <v>0</v>
      </c>
      <c r="AP143" s="140">
        <f>VLOOKUP(AK143,'[3]17見直し計画'!$A$50:$AJ$584,12,0)</f>
        <v>0</v>
      </c>
      <c r="AQ143" s="140">
        <f>VLOOKUP(AK143,'[3]17見直し計画'!$A$50:$AJ$584,13,0)</f>
        <v>0</v>
      </c>
      <c r="AR143" s="140">
        <f>VLOOKUP(AK143,'[3]17見直し計画'!$A$50:$AJ$584,14,0)</f>
        <v>0</v>
      </c>
      <c r="AS143" s="140"/>
      <c r="AT143" s="140">
        <f>VLOOKUP(AK143,'[3]17見直し計画'!$A$50:$AJ$584,35,0)</f>
        <v>0</v>
      </c>
      <c r="AU143" s="140">
        <f>VLOOKUP(AK143,'[3]17見直し計画'!$A$50:$AJ$584,36,0)</f>
        <v>0</v>
      </c>
    </row>
    <row r="144" spans="2:53" ht="105" hidden="1" customHeight="1">
      <c r="B144" s="126" t="s">
        <v>193</v>
      </c>
      <c r="C144" s="143" t="s">
        <v>135</v>
      </c>
      <c r="D144" s="143" t="s">
        <v>136</v>
      </c>
      <c r="E144">
        <f t="shared" si="24"/>
        <v>58</v>
      </c>
      <c r="F144" s="122">
        <v>58</v>
      </c>
      <c r="G144" s="123">
        <v>58</v>
      </c>
      <c r="H144" s="124">
        <v>2200262</v>
      </c>
      <c r="I144" s="125"/>
      <c r="J144" s="124" t="s">
        <v>517</v>
      </c>
      <c r="K144" s="124" t="s">
        <v>195</v>
      </c>
      <c r="L144" s="126"/>
      <c r="M144" s="126"/>
      <c r="N144" s="127" t="s">
        <v>138</v>
      </c>
      <c r="O144" s="128" t="s">
        <v>139</v>
      </c>
      <c r="P144" s="126" t="s">
        <v>122</v>
      </c>
      <c r="Q144" s="129" t="s">
        <v>518</v>
      </c>
      <c r="R144" s="130" t="s">
        <v>519</v>
      </c>
      <c r="S144" s="131" t="s">
        <v>125</v>
      </c>
      <c r="T144" s="132">
        <v>40269</v>
      </c>
      <c r="U144" s="133" t="s">
        <v>198</v>
      </c>
      <c r="V144" s="134" t="s">
        <v>520</v>
      </c>
      <c r="W144" s="118" t="s">
        <v>128</v>
      </c>
      <c r="X144" s="135">
        <v>12972960</v>
      </c>
      <c r="Y144" s="135">
        <v>12972960</v>
      </c>
      <c r="Z144" s="136">
        <v>1</v>
      </c>
      <c r="AA144" s="127"/>
      <c r="AB144" s="127"/>
      <c r="AC144" s="127" t="s">
        <v>129</v>
      </c>
      <c r="AD144" s="137" t="s">
        <v>146</v>
      </c>
      <c r="AE144" s="138"/>
      <c r="AF144" s="125"/>
      <c r="AG144" s="117" t="s">
        <v>131</v>
      </c>
      <c r="AH144" s="139" t="s">
        <v>132</v>
      </c>
      <c r="AJ144" s="120"/>
      <c r="AK144" s="120" t="s">
        <v>147</v>
      </c>
      <c r="AL144" s="140" t="str">
        <f>VLOOKUP(AK144,'[3]17見直し計画'!$A$50:$AJ$584,6,0)</f>
        <v>　見直し計画策定以降の新規案件</v>
      </c>
      <c r="AM144" s="140">
        <f>VLOOKUP(AK144,'[3]17見直し計画'!$A$50:$AJ$584,8,0)</f>
        <v>0</v>
      </c>
      <c r="AN144" s="180"/>
      <c r="AO144" s="141">
        <f>VLOOKUP(AK144,'[3]17見直し計画'!$A$50:$AJ$584,11,0)</f>
        <v>0</v>
      </c>
      <c r="AP144" s="140">
        <f>VLOOKUP(AK144,'[3]17見直し計画'!$A$50:$AJ$584,12,0)</f>
        <v>0</v>
      </c>
      <c r="AQ144" s="140">
        <f>VLOOKUP(AK144,'[3]17見直し計画'!$A$50:$AJ$584,13,0)</f>
        <v>0</v>
      </c>
      <c r="AR144" s="140">
        <f>VLOOKUP(AK144,'[3]17見直し計画'!$A$50:$AJ$584,14,0)</f>
        <v>0</v>
      </c>
      <c r="AS144" s="140"/>
      <c r="AT144" s="140">
        <f>VLOOKUP(AK144,'[3]17見直し計画'!$A$50:$AJ$584,35,0)</f>
        <v>0</v>
      </c>
      <c r="AU144" s="140">
        <f>VLOOKUP(AK144,'[3]17見直し計画'!$A$50:$AJ$584,36,0)</f>
        <v>0</v>
      </c>
    </row>
    <row r="145" spans="1:48" ht="105" hidden="1" customHeight="1">
      <c r="B145" s="126" t="s">
        <v>184</v>
      </c>
      <c r="C145" s="143" t="s">
        <v>135</v>
      </c>
      <c r="D145" s="143" t="s">
        <v>136</v>
      </c>
      <c r="E145">
        <f t="shared" si="24"/>
        <v>59</v>
      </c>
      <c r="F145" s="122">
        <v>59</v>
      </c>
      <c r="G145" s="123">
        <v>59</v>
      </c>
      <c r="H145" s="124">
        <v>2200082</v>
      </c>
      <c r="I145" s="125"/>
      <c r="J145" s="126" t="s">
        <v>521</v>
      </c>
      <c r="K145" s="124" t="s">
        <v>137</v>
      </c>
      <c r="L145" s="126"/>
      <c r="M145" s="126"/>
      <c r="N145" s="127" t="s">
        <v>186</v>
      </c>
      <c r="O145" s="128" t="s">
        <v>187</v>
      </c>
      <c r="P145" s="126" t="s">
        <v>122</v>
      </c>
      <c r="Q145" s="129" t="s">
        <v>522</v>
      </c>
      <c r="R145" s="130" t="s">
        <v>523</v>
      </c>
      <c r="S145" s="131" t="s">
        <v>125</v>
      </c>
      <c r="T145" s="132">
        <v>40269</v>
      </c>
      <c r="U145" s="133" t="s">
        <v>190</v>
      </c>
      <c r="V145" s="134" t="s">
        <v>143</v>
      </c>
      <c r="W145" s="118" t="s">
        <v>128</v>
      </c>
      <c r="X145" s="135">
        <v>12852000</v>
      </c>
      <c r="Y145" s="135">
        <v>12852000</v>
      </c>
      <c r="Z145" s="136">
        <v>1</v>
      </c>
      <c r="AA145" s="127"/>
      <c r="AB145" s="127"/>
      <c r="AC145" s="127" t="s">
        <v>129</v>
      </c>
      <c r="AD145" s="137" t="s">
        <v>192</v>
      </c>
      <c r="AE145" s="138"/>
      <c r="AF145" s="125"/>
      <c r="AG145" s="117" t="s">
        <v>131</v>
      </c>
      <c r="AH145" s="139" t="s">
        <v>132</v>
      </c>
      <c r="AJ145" s="120"/>
      <c r="AK145" s="120" t="s">
        <v>147</v>
      </c>
      <c r="AL145" s="140" t="str">
        <f>VLOOKUP(AK145,'[3]17見直し計画'!$A$50:$AJ$584,6,0)</f>
        <v>　見直し計画策定以降の新規案件</v>
      </c>
      <c r="AM145" s="140">
        <f>VLOOKUP(AK145,'[3]17見直し計画'!$A$50:$AJ$584,8,0)</f>
        <v>0</v>
      </c>
      <c r="AN145" s="180"/>
      <c r="AO145" s="141">
        <f>VLOOKUP(AK145,'[3]17見直し計画'!$A$50:$AJ$584,11,0)</f>
        <v>0</v>
      </c>
      <c r="AP145" s="140">
        <f>VLOOKUP(AK145,'[3]17見直し計画'!$A$50:$AJ$584,12,0)</f>
        <v>0</v>
      </c>
      <c r="AQ145" s="140">
        <f>VLOOKUP(AK145,'[3]17見直し計画'!$A$50:$AJ$584,13,0)</f>
        <v>0</v>
      </c>
      <c r="AR145" s="140">
        <f>VLOOKUP(AK145,'[3]17見直し計画'!$A$50:$AJ$584,14,0)</f>
        <v>0</v>
      </c>
      <c r="AS145" s="140"/>
      <c r="AT145" s="140">
        <f>VLOOKUP(AK145,'[3]17見直し計画'!$A$50:$AJ$584,35,0)</f>
        <v>0</v>
      </c>
      <c r="AU145" s="140">
        <f>VLOOKUP(AK145,'[3]17見直し計画'!$A$50:$AJ$584,36,0)</f>
        <v>0</v>
      </c>
    </row>
    <row r="146" spans="1:48" ht="105" hidden="1" customHeight="1">
      <c r="B146" s="126" t="s">
        <v>184</v>
      </c>
      <c r="C146" s="143" t="s">
        <v>135</v>
      </c>
      <c r="D146" s="143" t="s">
        <v>136</v>
      </c>
      <c r="E146">
        <f t="shared" si="24"/>
        <v>60</v>
      </c>
      <c r="F146" s="122">
        <v>60</v>
      </c>
      <c r="G146" s="123">
        <v>60</v>
      </c>
      <c r="H146" s="124">
        <v>2200083</v>
      </c>
      <c r="I146" s="125"/>
      <c r="J146" s="126" t="s">
        <v>524</v>
      </c>
      <c r="K146" s="124" t="s">
        <v>137</v>
      </c>
      <c r="L146" s="126"/>
      <c r="M146" s="126"/>
      <c r="N146" s="127" t="s">
        <v>186</v>
      </c>
      <c r="O146" s="128" t="s">
        <v>187</v>
      </c>
      <c r="P146" s="126" t="s">
        <v>122</v>
      </c>
      <c r="Q146" s="129" t="s">
        <v>525</v>
      </c>
      <c r="R146" s="130" t="s">
        <v>526</v>
      </c>
      <c r="S146" s="131" t="s">
        <v>125</v>
      </c>
      <c r="T146" s="132">
        <v>40269</v>
      </c>
      <c r="U146" s="133" t="s">
        <v>190</v>
      </c>
      <c r="V146" s="134" t="s">
        <v>143</v>
      </c>
      <c r="W146" s="118" t="s">
        <v>128</v>
      </c>
      <c r="X146" s="135">
        <v>12070800</v>
      </c>
      <c r="Y146" s="135">
        <v>12070800</v>
      </c>
      <c r="Z146" s="136">
        <v>1</v>
      </c>
      <c r="AA146" s="127"/>
      <c r="AB146" s="127"/>
      <c r="AC146" s="127" t="s">
        <v>129</v>
      </c>
      <c r="AD146" s="137" t="s">
        <v>192</v>
      </c>
      <c r="AE146" s="138"/>
      <c r="AF146" s="125"/>
      <c r="AG146" s="117" t="s">
        <v>131</v>
      </c>
      <c r="AH146" s="139" t="s">
        <v>132</v>
      </c>
      <c r="AJ146" s="179" t="s">
        <v>527</v>
      </c>
      <c r="AK146" s="120" t="s">
        <v>147</v>
      </c>
      <c r="AL146" s="140" t="str">
        <f>VLOOKUP(AK146,'[3]17見直し計画'!$A$50:$AJ$584,6,0)</f>
        <v>　見直し計画策定以降の新規案件</v>
      </c>
      <c r="AM146" s="140">
        <f>VLOOKUP(AK146,'[3]17見直し計画'!$A$50:$AJ$584,8,0)</f>
        <v>0</v>
      </c>
      <c r="AN146" s="180"/>
      <c r="AO146" s="141">
        <f>VLOOKUP(AK146,'[3]17見直し計画'!$A$50:$AJ$584,11,0)</f>
        <v>0</v>
      </c>
      <c r="AP146" s="140">
        <f>VLOOKUP(AK146,'[3]17見直し計画'!$A$50:$AJ$584,12,0)</f>
        <v>0</v>
      </c>
      <c r="AQ146" s="140">
        <f>VLOOKUP(AK146,'[3]17見直し計画'!$A$50:$AJ$584,13,0)</f>
        <v>0</v>
      </c>
      <c r="AR146" s="140">
        <f>VLOOKUP(AK146,'[3]17見直し計画'!$A$50:$AJ$584,14,0)</f>
        <v>0</v>
      </c>
      <c r="AS146" s="140"/>
      <c r="AT146" s="140">
        <f>VLOOKUP(AK146,'[3]17見直し計画'!$A$50:$AJ$584,35,0)</f>
        <v>0</v>
      </c>
      <c r="AU146" s="140">
        <f>VLOOKUP(AK146,'[3]17見直し計画'!$A$50:$AJ$584,36,0)</f>
        <v>0</v>
      </c>
    </row>
    <row r="147" spans="1:48" ht="105" hidden="1" customHeight="1">
      <c r="B147" s="126" t="s">
        <v>193</v>
      </c>
      <c r="C147" s="143" t="s">
        <v>135</v>
      </c>
      <c r="D147" s="143" t="s">
        <v>136</v>
      </c>
      <c r="E147">
        <f t="shared" si="24"/>
        <v>61</v>
      </c>
      <c r="F147" s="122">
        <v>61</v>
      </c>
      <c r="G147" s="123">
        <v>61</v>
      </c>
      <c r="H147" s="124">
        <v>2200175</v>
      </c>
      <c r="I147" s="125"/>
      <c r="J147" s="124" t="s">
        <v>528</v>
      </c>
      <c r="K147" s="124" t="s">
        <v>529</v>
      </c>
      <c r="L147" s="126"/>
      <c r="M147" s="126"/>
      <c r="N147" s="127" t="s">
        <v>138</v>
      </c>
      <c r="O147" s="128" t="s">
        <v>139</v>
      </c>
      <c r="P147" s="126" t="s">
        <v>122</v>
      </c>
      <c r="Q147" s="129" t="s">
        <v>530</v>
      </c>
      <c r="R147" s="130" t="s">
        <v>531</v>
      </c>
      <c r="S147" s="131" t="s">
        <v>125</v>
      </c>
      <c r="T147" s="132">
        <v>40269</v>
      </c>
      <c r="U147" s="133" t="s">
        <v>269</v>
      </c>
      <c r="V147" s="134" t="s">
        <v>270</v>
      </c>
      <c r="W147" s="118" t="s">
        <v>299</v>
      </c>
      <c r="X147" s="135">
        <v>11340000</v>
      </c>
      <c r="Y147" s="135">
        <v>11340000</v>
      </c>
      <c r="Z147" s="136">
        <v>1</v>
      </c>
      <c r="AA147" s="127"/>
      <c r="AB147" s="127"/>
      <c r="AC147" s="127" t="s">
        <v>129</v>
      </c>
      <c r="AD147" s="137" t="s">
        <v>146</v>
      </c>
      <c r="AE147" s="138"/>
      <c r="AF147" s="125"/>
      <c r="AG147" s="117" t="s">
        <v>131</v>
      </c>
      <c r="AH147" s="139" t="s">
        <v>132</v>
      </c>
      <c r="AJ147" s="120"/>
      <c r="AK147" s="120" t="s">
        <v>147</v>
      </c>
      <c r="AL147" s="140" t="str">
        <f>VLOOKUP(AK147,'[3]17見直し計画'!$A$50:$AJ$584,6,0)</f>
        <v>　見直し計画策定以降の新規案件</v>
      </c>
      <c r="AM147" s="140">
        <f>VLOOKUP(AK147,'[3]17見直し計画'!$A$50:$AJ$584,8,0)</f>
        <v>0</v>
      </c>
      <c r="AN147" s="180"/>
      <c r="AO147" s="141">
        <f>VLOOKUP(AK147,'[3]17見直し計画'!$A$50:$AJ$584,11,0)</f>
        <v>0</v>
      </c>
      <c r="AP147" s="140">
        <f>VLOOKUP(AK147,'[3]17見直し計画'!$A$50:$AJ$584,12,0)</f>
        <v>0</v>
      </c>
      <c r="AQ147" s="140">
        <f>VLOOKUP(AK147,'[3]17見直し計画'!$A$50:$AJ$584,13,0)</f>
        <v>0</v>
      </c>
      <c r="AR147" s="140">
        <f>VLOOKUP(AK147,'[3]17見直し計画'!$A$50:$AJ$584,14,0)</f>
        <v>0</v>
      </c>
      <c r="AS147" s="140"/>
      <c r="AT147" s="140">
        <f>VLOOKUP(AK147,'[3]17見直し計画'!$A$50:$AJ$584,35,0)</f>
        <v>0</v>
      </c>
      <c r="AU147" s="140">
        <f>VLOOKUP(AK147,'[3]17見直し計画'!$A$50:$AJ$584,36,0)</f>
        <v>0</v>
      </c>
    </row>
    <row r="148" spans="1:48" ht="105" hidden="1" customHeight="1">
      <c r="B148" s="126" t="s">
        <v>184</v>
      </c>
      <c r="C148" s="143" t="s">
        <v>135</v>
      </c>
      <c r="D148" s="143" t="s">
        <v>136</v>
      </c>
      <c r="E148">
        <f t="shared" si="24"/>
        <v>62</v>
      </c>
      <c r="F148" s="122">
        <v>62</v>
      </c>
      <c r="G148" s="123">
        <v>62</v>
      </c>
      <c r="H148" s="124">
        <v>2200126</v>
      </c>
      <c r="I148" s="125"/>
      <c r="J148" s="124" t="s">
        <v>532</v>
      </c>
      <c r="K148" s="124" t="s">
        <v>137</v>
      </c>
      <c r="L148" s="126"/>
      <c r="M148" s="126"/>
      <c r="N148" s="127" t="s">
        <v>186</v>
      </c>
      <c r="O148" s="128" t="s">
        <v>187</v>
      </c>
      <c r="P148" s="126" t="s">
        <v>122</v>
      </c>
      <c r="Q148" s="129" t="s">
        <v>533</v>
      </c>
      <c r="R148" s="130" t="s">
        <v>534</v>
      </c>
      <c r="S148" s="131" t="s">
        <v>125</v>
      </c>
      <c r="T148" s="132">
        <v>40269</v>
      </c>
      <c r="U148" s="133" t="s">
        <v>190</v>
      </c>
      <c r="V148" s="134" t="s">
        <v>143</v>
      </c>
      <c r="W148" s="118" t="s">
        <v>420</v>
      </c>
      <c r="X148" s="135">
        <v>11244360</v>
      </c>
      <c r="Y148" s="135">
        <v>11244360</v>
      </c>
      <c r="Z148" s="136">
        <v>1</v>
      </c>
      <c r="AA148" s="127"/>
      <c r="AB148" s="127"/>
      <c r="AC148" s="127" t="s">
        <v>129</v>
      </c>
      <c r="AD148" s="137" t="s">
        <v>192</v>
      </c>
      <c r="AE148" s="138"/>
      <c r="AF148" s="125"/>
      <c r="AG148" s="117" t="s">
        <v>131</v>
      </c>
      <c r="AH148" s="139" t="s">
        <v>132</v>
      </c>
      <c r="AJ148" s="179" t="s">
        <v>535</v>
      </c>
      <c r="AK148" s="120" t="s">
        <v>147</v>
      </c>
      <c r="AL148" s="140" t="str">
        <f>VLOOKUP(AK148,'[3]17見直し計画'!$A$50:$AJ$584,6,0)</f>
        <v>　見直し計画策定以降の新規案件</v>
      </c>
      <c r="AM148" s="140">
        <f>VLOOKUP(AK148,'[3]17見直し計画'!$A$50:$AJ$584,8,0)</f>
        <v>0</v>
      </c>
      <c r="AN148" s="180"/>
      <c r="AO148" s="141">
        <f>VLOOKUP(AK148,'[3]17見直し計画'!$A$50:$AJ$584,11,0)</f>
        <v>0</v>
      </c>
      <c r="AP148" s="140">
        <f>VLOOKUP(AK148,'[3]17見直し計画'!$A$50:$AJ$584,12,0)</f>
        <v>0</v>
      </c>
      <c r="AQ148" s="140">
        <f>VLOOKUP(AK148,'[3]17見直し計画'!$A$50:$AJ$584,13,0)</f>
        <v>0</v>
      </c>
      <c r="AR148" s="140">
        <f>VLOOKUP(AK148,'[3]17見直し計画'!$A$50:$AJ$584,14,0)</f>
        <v>0</v>
      </c>
      <c r="AS148" s="140"/>
      <c r="AT148" s="140">
        <f>VLOOKUP(AK148,'[3]17見直し計画'!$A$50:$AJ$584,35,0)</f>
        <v>0</v>
      </c>
      <c r="AU148" s="140">
        <f>VLOOKUP(AK148,'[3]17見直し計画'!$A$50:$AJ$584,36,0)</f>
        <v>0</v>
      </c>
    </row>
    <row r="149" spans="1:48" ht="105" hidden="1" customHeight="1">
      <c r="B149" s="126" t="s">
        <v>193</v>
      </c>
      <c r="C149" s="143" t="s">
        <v>135</v>
      </c>
      <c r="D149" s="143" t="s">
        <v>136</v>
      </c>
      <c r="E149">
        <f t="shared" si="24"/>
        <v>63</v>
      </c>
      <c r="F149" s="122">
        <v>63</v>
      </c>
      <c r="G149" s="123">
        <v>63</v>
      </c>
      <c r="H149" s="124">
        <v>2200130</v>
      </c>
      <c r="I149" s="125"/>
      <c r="J149" s="124" t="s">
        <v>536</v>
      </c>
      <c r="K149" s="124" t="s">
        <v>195</v>
      </c>
      <c r="L149" s="126"/>
      <c r="M149" s="126"/>
      <c r="N149" s="127" t="s">
        <v>138</v>
      </c>
      <c r="O149" s="128" t="s">
        <v>139</v>
      </c>
      <c r="P149" s="126" t="s">
        <v>122</v>
      </c>
      <c r="Q149" s="129" t="s">
        <v>537</v>
      </c>
      <c r="R149" s="130" t="s">
        <v>538</v>
      </c>
      <c r="S149" s="131" t="s">
        <v>125</v>
      </c>
      <c r="T149" s="132">
        <v>40269</v>
      </c>
      <c r="U149" s="133" t="s">
        <v>539</v>
      </c>
      <c r="V149" s="134" t="s">
        <v>540</v>
      </c>
      <c r="W149" s="118" t="s">
        <v>128</v>
      </c>
      <c r="X149" s="135">
        <v>11096820</v>
      </c>
      <c r="Y149" s="135">
        <v>11096820</v>
      </c>
      <c r="Z149" s="136">
        <v>1</v>
      </c>
      <c r="AA149" s="127"/>
      <c r="AB149" s="127"/>
      <c r="AC149" s="127" t="s">
        <v>129</v>
      </c>
      <c r="AD149" s="137" t="s">
        <v>146</v>
      </c>
      <c r="AE149" s="138"/>
      <c r="AF149" s="125"/>
      <c r="AG149" s="117" t="s">
        <v>131</v>
      </c>
      <c r="AH149" s="139" t="s">
        <v>132</v>
      </c>
      <c r="AJ149" s="120"/>
      <c r="AK149" s="120" t="s">
        <v>147</v>
      </c>
      <c r="AL149" s="140" t="str">
        <f>VLOOKUP(AK149,'[3]17見直し計画'!$A$50:$AJ$584,6,0)</f>
        <v>　見直し計画策定以降の新規案件</v>
      </c>
      <c r="AM149" s="140">
        <f>VLOOKUP(AK149,'[3]17見直し計画'!$A$50:$AJ$584,8,0)</f>
        <v>0</v>
      </c>
      <c r="AN149" s="180"/>
      <c r="AO149" s="141">
        <f>VLOOKUP(AK149,'[3]17見直し計画'!$A$50:$AJ$584,11,0)</f>
        <v>0</v>
      </c>
      <c r="AP149" s="140">
        <f>VLOOKUP(AK149,'[3]17見直し計画'!$A$50:$AJ$584,12,0)</f>
        <v>0</v>
      </c>
      <c r="AQ149" s="140">
        <f>VLOOKUP(AK149,'[3]17見直し計画'!$A$50:$AJ$584,13,0)</f>
        <v>0</v>
      </c>
      <c r="AR149" s="140">
        <f>VLOOKUP(AK149,'[3]17見直し計画'!$A$50:$AJ$584,14,0)</f>
        <v>0</v>
      </c>
      <c r="AS149" s="140"/>
      <c r="AT149" s="140">
        <f>VLOOKUP(AK149,'[3]17見直し計画'!$A$50:$AJ$584,35,0)</f>
        <v>0</v>
      </c>
      <c r="AU149" s="140">
        <f>VLOOKUP(AK149,'[3]17見直し計画'!$A$50:$AJ$584,36,0)</f>
        <v>0</v>
      </c>
    </row>
    <row r="150" spans="1:48" ht="105" hidden="1" customHeight="1">
      <c r="B150" s="126" t="s">
        <v>193</v>
      </c>
      <c r="C150" s="143" t="s">
        <v>135</v>
      </c>
      <c r="D150" s="143" t="s">
        <v>136</v>
      </c>
      <c r="E150">
        <f t="shared" si="24"/>
        <v>64</v>
      </c>
      <c r="F150" s="122">
        <v>64</v>
      </c>
      <c r="G150" s="123">
        <v>64</v>
      </c>
      <c r="H150" s="124">
        <v>2200118</v>
      </c>
      <c r="I150" s="125"/>
      <c r="J150" s="124" t="s">
        <v>541</v>
      </c>
      <c r="K150" s="124" t="s">
        <v>195</v>
      </c>
      <c r="L150" s="126"/>
      <c r="M150" s="126"/>
      <c r="N150" s="127" t="s">
        <v>138</v>
      </c>
      <c r="O150" s="128" t="s">
        <v>139</v>
      </c>
      <c r="P150" s="126" t="s">
        <v>122</v>
      </c>
      <c r="Q150" s="129" t="s">
        <v>542</v>
      </c>
      <c r="R150" s="130" t="s">
        <v>543</v>
      </c>
      <c r="S150" s="131" t="s">
        <v>125</v>
      </c>
      <c r="T150" s="132">
        <v>40269</v>
      </c>
      <c r="U150" s="133" t="s">
        <v>539</v>
      </c>
      <c r="V150" s="134" t="s">
        <v>544</v>
      </c>
      <c r="W150" s="118" t="s">
        <v>128</v>
      </c>
      <c r="X150" s="135">
        <v>10411380</v>
      </c>
      <c r="Y150" s="135">
        <v>10411380</v>
      </c>
      <c r="Z150" s="136">
        <v>1</v>
      </c>
      <c r="AA150" s="127"/>
      <c r="AB150" s="127"/>
      <c r="AC150" s="127" t="s">
        <v>129</v>
      </c>
      <c r="AD150" s="137" t="s">
        <v>146</v>
      </c>
      <c r="AE150" s="138"/>
      <c r="AF150" s="125"/>
      <c r="AG150" s="117" t="s">
        <v>131</v>
      </c>
      <c r="AH150" s="139" t="s">
        <v>132</v>
      </c>
      <c r="AJ150" s="120"/>
      <c r="AK150" s="120" t="s">
        <v>147</v>
      </c>
      <c r="AL150" s="140" t="str">
        <f>VLOOKUP(AK150,'[3]17見直し計画'!$A$50:$AJ$584,6,0)</f>
        <v>　見直し計画策定以降の新規案件</v>
      </c>
      <c r="AM150" s="140">
        <f>VLOOKUP(AK150,'[3]17見直し計画'!$A$50:$AJ$584,8,0)</f>
        <v>0</v>
      </c>
      <c r="AN150" s="180"/>
      <c r="AO150" s="141">
        <f>VLOOKUP(AK150,'[3]17見直し計画'!$A$50:$AJ$584,11,0)</f>
        <v>0</v>
      </c>
      <c r="AP150" s="140">
        <f>VLOOKUP(AK150,'[3]17見直し計画'!$A$50:$AJ$584,12,0)</f>
        <v>0</v>
      </c>
      <c r="AQ150" s="140">
        <f>VLOOKUP(AK150,'[3]17見直し計画'!$A$50:$AJ$584,13,0)</f>
        <v>0</v>
      </c>
      <c r="AR150" s="140">
        <f>VLOOKUP(AK150,'[3]17見直し計画'!$A$50:$AJ$584,14,0)</f>
        <v>0</v>
      </c>
      <c r="AS150" s="140"/>
      <c r="AT150" s="140">
        <f>VLOOKUP(AK150,'[3]17見直し計画'!$A$50:$AJ$584,35,0)</f>
        <v>0</v>
      </c>
      <c r="AU150" s="140">
        <f>VLOOKUP(AK150,'[3]17見直し計画'!$A$50:$AJ$584,36,0)</f>
        <v>0</v>
      </c>
    </row>
    <row r="151" spans="1:48" ht="105" hidden="1" customHeight="1">
      <c r="B151" s="126" t="s">
        <v>193</v>
      </c>
      <c r="C151" s="143" t="s">
        <v>135</v>
      </c>
      <c r="D151" s="143" t="s">
        <v>136</v>
      </c>
      <c r="E151">
        <f t="shared" si="24"/>
        <v>65</v>
      </c>
      <c r="F151" s="122">
        <v>65</v>
      </c>
      <c r="G151" s="123">
        <v>65</v>
      </c>
      <c r="H151" s="124">
        <v>2200372</v>
      </c>
      <c r="I151" s="125"/>
      <c r="J151" s="124" t="s">
        <v>545</v>
      </c>
      <c r="K151" s="124" t="s">
        <v>195</v>
      </c>
      <c r="L151" s="126"/>
      <c r="M151" s="126"/>
      <c r="N151" s="127" t="s">
        <v>138</v>
      </c>
      <c r="O151" s="128" t="s">
        <v>139</v>
      </c>
      <c r="P151" s="126" t="s">
        <v>122</v>
      </c>
      <c r="Q151" s="129" t="s">
        <v>546</v>
      </c>
      <c r="R151" s="130" t="s">
        <v>547</v>
      </c>
      <c r="S151" s="131" t="s">
        <v>125</v>
      </c>
      <c r="T151" s="132">
        <v>40269</v>
      </c>
      <c r="U151" s="133" t="s">
        <v>499</v>
      </c>
      <c r="V151" s="134" t="s">
        <v>500</v>
      </c>
      <c r="W151" s="118" t="s">
        <v>128</v>
      </c>
      <c r="X151" s="135">
        <v>9825264</v>
      </c>
      <c r="Y151" s="135">
        <v>9825264</v>
      </c>
      <c r="Z151" s="136">
        <v>1</v>
      </c>
      <c r="AA151" s="127"/>
      <c r="AB151" s="127"/>
      <c r="AC151" s="127" t="s">
        <v>129</v>
      </c>
      <c r="AD151" s="137" t="s">
        <v>146</v>
      </c>
      <c r="AE151" s="138"/>
      <c r="AF151" s="125"/>
      <c r="AG151" s="117" t="s">
        <v>131</v>
      </c>
      <c r="AH151" s="139" t="s">
        <v>132</v>
      </c>
      <c r="AI151" s="177"/>
      <c r="AJ151" s="179" t="s">
        <v>548</v>
      </c>
      <c r="AK151" s="120" t="s">
        <v>147</v>
      </c>
      <c r="AL151" s="140" t="str">
        <f>VLOOKUP(AK151,'[3]17見直し計画'!$A$50:$AJ$584,6,0)</f>
        <v>　見直し計画策定以降の新規案件</v>
      </c>
      <c r="AM151" s="140">
        <f>VLOOKUP(AK151,'[3]17見直し計画'!$A$50:$AJ$584,8,0)</f>
        <v>0</v>
      </c>
      <c r="AN151" s="180"/>
      <c r="AO151" s="141">
        <f>VLOOKUP(AK151,'[3]17見直し計画'!$A$50:$AJ$584,11,0)</f>
        <v>0</v>
      </c>
      <c r="AP151" s="140">
        <f>VLOOKUP(AK151,'[3]17見直し計画'!$A$50:$AJ$584,12,0)</f>
        <v>0</v>
      </c>
      <c r="AQ151" s="140">
        <f>VLOOKUP(AK151,'[3]17見直し計画'!$A$50:$AJ$584,13,0)</f>
        <v>0</v>
      </c>
      <c r="AR151" s="140">
        <f>VLOOKUP(AK151,'[3]17見直し計画'!$A$50:$AJ$584,14,0)</f>
        <v>0</v>
      </c>
      <c r="AS151" s="140"/>
      <c r="AT151" s="140">
        <f>VLOOKUP(AK151,'[3]17見直し計画'!$A$50:$AJ$584,35,0)</f>
        <v>0</v>
      </c>
      <c r="AU151" s="140">
        <f>VLOOKUP(AK151,'[3]17見直し計画'!$A$50:$AJ$584,36,0)</f>
        <v>0</v>
      </c>
    </row>
    <row r="152" spans="1:48" ht="105" customHeight="1">
      <c r="B152" s="143" t="s">
        <v>549</v>
      </c>
      <c r="C152" s="143" t="s">
        <v>550</v>
      </c>
      <c r="D152" s="143" t="s">
        <v>351</v>
      </c>
      <c r="E152">
        <f t="shared" si="24"/>
        <v>66</v>
      </c>
      <c r="F152" s="122">
        <v>66</v>
      </c>
      <c r="G152" s="123">
        <v>66</v>
      </c>
      <c r="H152" s="124">
        <v>2200251</v>
      </c>
      <c r="I152" s="125"/>
      <c r="J152" s="124" t="s">
        <v>551</v>
      </c>
      <c r="K152" s="124" t="s">
        <v>353</v>
      </c>
      <c r="L152" s="126"/>
      <c r="M152" s="126"/>
      <c r="N152" s="127" t="s">
        <v>138</v>
      </c>
      <c r="O152" s="128" t="s">
        <v>139</v>
      </c>
      <c r="P152" s="126" t="s">
        <v>122</v>
      </c>
      <c r="Q152" s="129" t="s">
        <v>552</v>
      </c>
      <c r="R152" s="130" t="s">
        <v>553</v>
      </c>
      <c r="S152" s="131" t="s">
        <v>125</v>
      </c>
      <c r="T152" s="132">
        <v>40269</v>
      </c>
      <c r="U152" s="133" t="s">
        <v>554</v>
      </c>
      <c r="V152" s="134" t="s">
        <v>555</v>
      </c>
      <c r="W152" s="118" t="s">
        <v>556</v>
      </c>
      <c r="X152" s="135">
        <v>9600000</v>
      </c>
      <c r="Y152" s="135">
        <v>9600000</v>
      </c>
      <c r="Z152" s="136">
        <v>1</v>
      </c>
      <c r="AA152" s="127"/>
      <c r="AB152" s="127"/>
      <c r="AC152" s="127" t="s">
        <v>129</v>
      </c>
      <c r="AD152" s="137" t="s">
        <v>146</v>
      </c>
      <c r="AE152" s="138"/>
      <c r="AF152" s="125"/>
      <c r="AG152" s="117" t="s">
        <v>131</v>
      </c>
      <c r="AH152" s="139" t="s">
        <v>132</v>
      </c>
      <c r="AJ152" s="120"/>
      <c r="AK152" s="120" t="s">
        <v>557</v>
      </c>
      <c r="AL152" s="140" t="str">
        <f>VLOOKUP(AK152,'[3]17見直し計画'!$A$50:$AJ$584,6,0)</f>
        <v>田辺総合法律事務所</v>
      </c>
      <c r="AM152" s="140" t="str">
        <f>VLOOKUP(AK152,'[3]17見直し計画'!$A$50:$AJ$584,8,0)</f>
        <v>顧問弁護士契約</v>
      </c>
      <c r="AN152" s="180">
        <f>VLOOKUP(AK152,'[3]17見直し計画'!$A$50:$AJ$584,10,0)</f>
        <v>38443</v>
      </c>
      <c r="AO152" s="141">
        <f>VLOOKUP(AK152,'[3]17見直し計画'!$A$50:$AJ$584,11,0)</f>
        <v>7200000</v>
      </c>
      <c r="AP152" s="140" t="str">
        <f>VLOOKUP(AK152,'[3]17見直し計画'!$A$50:$AJ$584,12,0)</f>
        <v>過去に当省が行った種々の法律相談案件対応との継続性を保ち、かつ今後も円滑に対処していくためには、これまでに十分な実績や情報の蓄積があり、当省との間に信頼性を確立している法律事務所に委託する必要がある（会計法第２９条の３第４項）。</v>
      </c>
      <c r="AQ152" s="140" t="str">
        <f>VLOOKUP(AK152,'[3]17見直し計画'!$A$50:$AJ$584,13,0)</f>
        <v>その他のもの</v>
      </c>
      <c r="AR152" s="140" t="str">
        <f>VLOOKUP(AK152,'[3]17見直し計画'!$A$50:$AJ$584,14,0)</f>
        <v>随意契約によらざるを得ないもの</v>
      </c>
      <c r="AS152" s="140"/>
      <c r="AT152" s="140" t="str">
        <f>VLOOKUP(AK152,'[3]17見直し計画'!$A$50:$AJ$584,35,0)</f>
        <v>行政目的を達成するために不可欠な業務を提供することが可能な者から提供を受けるもの</v>
      </c>
      <c r="AU152" s="140" t="str">
        <f>VLOOKUP(AK152,'[3]17見直し計画'!$A$50:$AJ$584,36,0)</f>
        <v>ニ（ヘ）
に準ずる</v>
      </c>
    </row>
    <row r="153" spans="1:48" ht="105" customHeight="1">
      <c r="B153" s="143" t="s">
        <v>549</v>
      </c>
      <c r="C153" s="143" t="s">
        <v>550</v>
      </c>
      <c r="D153" s="143" t="s">
        <v>351</v>
      </c>
      <c r="E153">
        <f t="shared" ref="E153:E216" si="25">SUM(E152+1)</f>
        <v>67</v>
      </c>
      <c r="F153" s="122">
        <v>67</v>
      </c>
      <c r="G153" s="123">
        <v>67</v>
      </c>
      <c r="H153" s="124">
        <v>2200254</v>
      </c>
      <c r="I153" s="125"/>
      <c r="J153" s="124" t="s">
        <v>558</v>
      </c>
      <c r="K153" s="124" t="s">
        <v>433</v>
      </c>
      <c r="L153" s="126"/>
      <c r="M153" s="126"/>
      <c r="N153" s="127" t="s">
        <v>138</v>
      </c>
      <c r="O153" s="128" t="s">
        <v>139</v>
      </c>
      <c r="P153" s="126" t="s">
        <v>122</v>
      </c>
      <c r="Q153" s="129" t="s">
        <v>559</v>
      </c>
      <c r="R153" s="130" t="s">
        <v>560</v>
      </c>
      <c r="S153" s="131" t="s">
        <v>125</v>
      </c>
      <c r="T153" s="132">
        <v>40269</v>
      </c>
      <c r="U153" s="133" t="s">
        <v>561</v>
      </c>
      <c r="V153" s="134" t="s">
        <v>562</v>
      </c>
      <c r="W153" s="118" t="s">
        <v>563</v>
      </c>
      <c r="X153" s="135">
        <v>9200760</v>
      </c>
      <c r="Y153" s="135">
        <v>9200760</v>
      </c>
      <c r="Z153" s="136">
        <v>1</v>
      </c>
      <c r="AA153" s="127"/>
      <c r="AB153" s="127"/>
      <c r="AC153" s="127" t="s">
        <v>129</v>
      </c>
      <c r="AD153" s="137" t="s">
        <v>146</v>
      </c>
      <c r="AE153" s="138"/>
      <c r="AF153" s="125"/>
      <c r="AG153" s="117" t="s">
        <v>131</v>
      </c>
      <c r="AH153" s="139" t="s">
        <v>132</v>
      </c>
      <c r="AJ153" s="120"/>
      <c r="AK153" s="120" t="s">
        <v>564</v>
      </c>
      <c r="AL153" s="140" t="str">
        <f>VLOOKUP(AK153,'[3]17見直し計画'!$A$50:$AJ$584,6,0)</f>
        <v>ＡＰ通信社東京支局</v>
      </c>
      <c r="AM153" s="140" t="str">
        <f>VLOOKUP(AK153,'[3]17見直し計画'!$A$50:$AJ$584,8,0)</f>
        <v>「ＡＰ通信ニュース」受信</v>
      </c>
      <c r="AN153" s="180">
        <f>VLOOKUP(AK153,'[3]17見直し計画'!$A$50:$AJ$584,10,0)</f>
        <v>38443</v>
      </c>
      <c r="AO153" s="141">
        <f>VLOOKUP(AK153,'[3]17見直し計画'!$A$50:$AJ$584,11,0)</f>
        <v>8712000</v>
      </c>
      <c r="AP153" s="140" t="str">
        <f>VLOOKUP(AK153,'[3]17見直し計画'!$A$50:$AJ$584,12,0)</f>
        <v>契約相手先が作成しているニュースの受信契約であり、他に競争を許さない（会計法第２９条の３第４項）。</v>
      </c>
      <c r="AQ153" s="140" t="str">
        <f>VLOOKUP(AK153,'[3]17見直し計画'!$A$50:$AJ$584,13,0)</f>
        <v>その他のもの</v>
      </c>
      <c r="AR153" s="140" t="str">
        <f>VLOOKUP(AK153,'[3]17見直し計画'!$A$50:$AJ$584,14,0)</f>
        <v>随意契約によらざるを得ないもの</v>
      </c>
      <c r="AS153" s="140"/>
      <c r="AT153" s="140" t="str">
        <f>VLOOKUP(AK153,'[3]17見直し計画'!$A$50:$AJ$584,35,0)</f>
        <v>行政目的を達成するために不可欠な情報の提供</v>
      </c>
      <c r="AU153" s="140" t="str">
        <f>VLOOKUP(AK153,'[3]17見直し計画'!$A$50:$AJ$584,36,0)</f>
        <v>ニ（ヘ）</v>
      </c>
    </row>
    <row r="154" spans="1:48" ht="105" hidden="1" customHeight="1">
      <c r="B154" s="126" t="s">
        <v>134</v>
      </c>
      <c r="C154" s="143" t="s">
        <v>135</v>
      </c>
      <c r="D154" s="143" t="s">
        <v>136</v>
      </c>
      <c r="E154">
        <f>SUM(E153+1)</f>
        <v>68</v>
      </c>
      <c r="F154" s="122">
        <v>68</v>
      </c>
      <c r="G154" s="123">
        <v>68</v>
      </c>
      <c r="H154" s="124">
        <v>2200449</v>
      </c>
      <c r="I154" s="125"/>
      <c r="J154" s="124" t="s">
        <v>565</v>
      </c>
      <c r="K154" s="124" t="s">
        <v>286</v>
      </c>
      <c r="L154" s="126"/>
      <c r="M154" s="126"/>
      <c r="N154" s="127" t="s">
        <v>138</v>
      </c>
      <c r="O154" s="128" t="s">
        <v>139</v>
      </c>
      <c r="P154" s="126" t="s">
        <v>122</v>
      </c>
      <c r="Q154" s="129" t="s">
        <v>566</v>
      </c>
      <c r="R154" s="130" t="s">
        <v>567</v>
      </c>
      <c r="S154" s="131" t="s">
        <v>125</v>
      </c>
      <c r="T154" s="132">
        <v>40269</v>
      </c>
      <c r="U154" s="133" t="s">
        <v>568</v>
      </c>
      <c r="V154" s="134" t="s">
        <v>569</v>
      </c>
      <c r="W154" s="118" t="s">
        <v>366</v>
      </c>
      <c r="X154" s="135">
        <v>9187500</v>
      </c>
      <c r="Y154" s="135">
        <v>9187500</v>
      </c>
      <c r="Z154" s="136">
        <v>1</v>
      </c>
      <c r="AA154" s="127"/>
      <c r="AB154" s="127"/>
      <c r="AC154" s="127" t="s">
        <v>129</v>
      </c>
      <c r="AD154" s="137" t="s">
        <v>146</v>
      </c>
      <c r="AE154" s="138"/>
      <c r="AF154" s="125"/>
      <c r="AG154" s="117" t="s">
        <v>131</v>
      </c>
      <c r="AH154" s="139" t="s">
        <v>132</v>
      </c>
      <c r="AJ154" s="120"/>
      <c r="AK154" s="120" t="s">
        <v>147</v>
      </c>
      <c r="AL154" s="140" t="str">
        <f>VLOOKUP(AK154,'[3]17見直し計画'!$A$50:$AJ$584,6,0)</f>
        <v>　見直し計画策定以降の新規案件</v>
      </c>
      <c r="AM154" s="140">
        <f>VLOOKUP(AK154,'[3]17見直し計画'!$A$50:$AJ$584,8,0)</f>
        <v>0</v>
      </c>
      <c r="AN154" s="180"/>
      <c r="AO154" s="141">
        <f>VLOOKUP(AK154,'[3]17見直し計画'!$A$50:$AJ$584,11,0)</f>
        <v>0</v>
      </c>
      <c r="AP154" s="140">
        <f>VLOOKUP(AK154,'[3]17見直し計画'!$A$50:$AJ$584,12,0)</f>
        <v>0</v>
      </c>
      <c r="AQ154" s="140">
        <f>VLOOKUP(AK154,'[3]17見直し計画'!$A$50:$AJ$584,13,0)</f>
        <v>0</v>
      </c>
      <c r="AR154" s="140">
        <f>VLOOKUP(AK154,'[3]17見直し計画'!$A$50:$AJ$584,14,0)</f>
        <v>0</v>
      </c>
      <c r="AS154" s="140"/>
      <c r="AT154" s="140">
        <f>VLOOKUP(AK154,'[3]17見直し計画'!$A$50:$AJ$584,35,0)</f>
        <v>0</v>
      </c>
      <c r="AU154" s="140">
        <f>VLOOKUP(AK154,'[3]17見直し計画'!$A$50:$AJ$584,36,0)</f>
        <v>0</v>
      </c>
    </row>
    <row r="155" spans="1:48" ht="105" hidden="1" customHeight="1">
      <c r="B155" s="126" t="s">
        <v>134</v>
      </c>
      <c r="C155" s="143" t="s">
        <v>135</v>
      </c>
      <c r="D155" s="143" t="s">
        <v>136</v>
      </c>
      <c r="E155">
        <f t="shared" si="25"/>
        <v>69</v>
      </c>
      <c r="F155" s="122">
        <v>69</v>
      </c>
      <c r="G155" s="123">
        <v>69</v>
      </c>
      <c r="H155" s="124">
        <v>2200094</v>
      </c>
      <c r="I155" s="125"/>
      <c r="J155" s="124" t="s">
        <v>570</v>
      </c>
      <c r="K155" s="124" t="s">
        <v>195</v>
      </c>
      <c r="L155" s="126"/>
      <c r="M155" s="126"/>
      <c r="N155" s="127" t="s">
        <v>138</v>
      </c>
      <c r="O155" s="128" t="s">
        <v>139</v>
      </c>
      <c r="P155" s="126" t="s">
        <v>122</v>
      </c>
      <c r="Q155" s="129" t="s">
        <v>571</v>
      </c>
      <c r="R155" s="130" t="s">
        <v>572</v>
      </c>
      <c r="S155" s="131" t="s">
        <v>125</v>
      </c>
      <c r="T155" s="132">
        <v>40269</v>
      </c>
      <c r="U155" s="133" t="s">
        <v>303</v>
      </c>
      <c r="V155" s="134" t="s">
        <v>304</v>
      </c>
      <c r="W155" s="118" t="s">
        <v>217</v>
      </c>
      <c r="X155" s="135">
        <v>8640073</v>
      </c>
      <c r="Y155" s="135">
        <v>8637300</v>
      </c>
      <c r="Z155" s="136">
        <v>0.999</v>
      </c>
      <c r="AA155" s="127"/>
      <c r="AB155" s="127"/>
      <c r="AC155" s="127" t="s">
        <v>129</v>
      </c>
      <c r="AD155" s="137" t="s">
        <v>146</v>
      </c>
      <c r="AE155" s="138"/>
      <c r="AF155" s="125"/>
      <c r="AG155" s="117" t="s">
        <v>131</v>
      </c>
      <c r="AH155" s="139" t="s">
        <v>132</v>
      </c>
      <c r="AJ155" s="179" t="s">
        <v>573</v>
      </c>
      <c r="AK155" s="120" t="s">
        <v>147</v>
      </c>
      <c r="AL155" s="140" t="str">
        <f>VLOOKUP(AK155,'[3]17見直し計画'!$A$50:$AJ$584,6,0)</f>
        <v>　見直し計画策定以降の新規案件</v>
      </c>
      <c r="AM155" s="140">
        <f>VLOOKUP(AK155,'[3]17見直し計画'!$A$50:$AJ$584,8,0)</f>
        <v>0</v>
      </c>
      <c r="AN155" s="180"/>
      <c r="AO155" s="141">
        <f>VLOOKUP(AK155,'[3]17見直し計画'!$A$50:$AJ$584,11,0)</f>
        <v>0</v>
      </c>
      <c r="AP155" s="140">
        <f>VLOOKUP(AK155,'[3]17見直し計画'!$A$50:$AJ$584,12,0)</f>
        <v>0</v>
      </c>
      <c r="AQ155" s="140">
        <f>VLOOKUP(AK155,'[3]17見直し計画'!$A$50:$AJ$584,13,0)</f>
        <v>0</v>
      </c>
      <c r="AR155" s="140">
        <f>VLOOKUP(AK155,'[3]17見直し計画'!$A$50:$AJ$584,14,0)</f>
        <v>0</v>
      </c>
      <c r="AS155" s="140"/>
      <c r="AT155" s="140">
        <f>VLOOKUP(AK155,'[3]17見直し計画'!$A$50:$AJ$584,35,0)</f>
        <v>0</v>
      </c>
      <c r="AU155" s="140">
        <f>VLOOKUP(AK155,'[3]17見直し計画'!$A$50:$AJ$584,36,0)</f>
        <v>0</v>
      </c>
    </row>
    <row r="156" spans="1:48" ht="105" hidden="1" customHeight="1">
      <c r="B156" s="126" t="s">
        <v>134</v>
      </c>
      <c r="C156" s="143" t="s">
        <v>135</v>
      </c>
      <c r="D156" s="143" t="s">
        <v>136</v>
      </c>
      <c r="E156">
        <f t="shared" si="25"/>
        <v>70</v>
      </c>
      <c r="F156" s="122">
        <v>70</v>
      </c>
      <c r="G156" s="123">
        <v>70</v>
      </c>
      <c r="H156" s="124">
        <v>2200144</v>
      </c>
      <c r="I156" s="125"/>
      <c r="J156" s="124" t="s">
        <v>574</v>
      </c>
      <c r="K156" s="124" t="s">
        <v>195</v>
      </c>
      <c r="L156" s="126"/>
      <c r="M156" s="126"/>
      <c r="N156" s="127" t="s">
        <v>138</v>
      </c>
      <c r="O156" s="128" t="s">
        <v>139</v>
      </c>
      <c r="P156" s="126" t="s">
        <v>122</v>
      </c>
      <c r="Q156" s="129" t="s">
        <v>575</v>
      </c>
      <c r="R156" s="130" t="s">
        <v>576</v>
      </c>
      <c r="S156" s="131" t="s">
        <v>125</v>
      </c>
      <c r="T156" s="132">
        <v>40269</v>
      </c>
      <c r="U156" s="133" t="s">
        <v>577</v>
      </c>
      <c r="V156" s="134" t="s">
        <v>578</v>
      </c>
      <c r="W156" s="118" t="s">
        <v>579</v>
      </c>
      <c r="X156" s="135">
        <v>8542800</v>
      </c>
      <c r="Y156" s="135">
        <v>8542800</v>
      </c>
      <c r="Z156" s="136">
        <v>1</v>
      </c>
      <c r="AA156" s="127"/>
      <c r="AB156" s="127"/>
      <c r="AC156" s="127" t="s">
        <v>129</v>
      </c>
      <c r="AD156" s="137" t="s">
        <v>146</v>
      </c>
      <c r="AE156" s="138"/>
      <c r="AF156" s="125"/>
      <c r="AG156" s="117" t="s">
        <v>131</v>
      </c>
      <c r="AH156" s="139" t="s">
        <v>132</v>
      </c>
      <c r="AJ156" s="179" t="s">
        <v>580</v>
      </c>
      <c r="AK156" s="120" t="s">
        <v>147</v>
      </c>
      <c r="AL156" s="140" t="str">
        <f>VLOOKUP(AK156,'[3]17見直し計画'!$A$50:$AJ$584,6,0)</f>
        <v>　見直し計画策定以降の新規案件</v>
      </c>
      <c r="AM156" s="140">
        <f>VLOOKUP(AK156,'[3]17見直し計画'!$A$50:$AJ$584,8,0)</f>
        <v>0</v>
      </c>
      <c r="AN156" s="180"/>
      <c r="AO156" s="141">
        <f>VLOOKUP(AK156,'[3]17見直し計画'!$A$50:$AJ$584,11,0)</f>
        <v>0</v>
      </c>
      <c r="AP156" s="140">
        <f>VLOOKUP(AK156,'[3]17見直し計画'!$A$50:$AJ$584,12,0)</f>
        <v>0</v>
      </c>
      <c r="AQ156" s="140">
        <f>VLOOKUP(AK156,'[3]17見直し計画'!$A$50:$AJ$584,13,0)</f>
        <v>0</v>
      </c>
      <c r="AR156" s="140">
        <f>VLOOKUP(AK156,'[3]17見直し計画'!$A$50:$AJ$584,14,0)</f>
        <v>0</v>
      </c>
      <c r="AS156" s="140"/>
      <c r="AT156" s="140">
        <f>VLOOKUP(AK156,'[3]17見直し計画'!$A$50:$AJ$584,35,0)</f>
        <v>0</v>
      </c>
      <c r="AU156" s="140">
        <f>VLOOKUP(AK156,'[3]17見直し計画'!$A$50:$AJ$584,36,0)</f>
        <v>0</v>
      </c>
    </row>
    <row r="157" spans="1:48" ht="105" hidden="1" customHeight="1">
      <c r="B157" s="126" t="s">
        <v>193</v>
      </c>
      <c r="C157" s="143" t="s">
        <v>135</v>
      </c>
      <c r="D157" s="143" t="s">
        <v>136</v>
      </c>
      <c r="E157">
        <f t="shared" si="25"/>
        <v>71</v>
      </c>
      <c r="F157" s="122">
        <v>71</v>
      </c>
      <c r="G157" s="123">
        <v>71</v>
      </c>
      <c r="H157" s="124">
        <v>2200261</v>
      </c>
      <c r="I157" s="125"/>
      <c r="J157" s="124" t="s">
        <v>581</v>
      </c>
      <c r="K157" s="124" t="s">
        <v>195</v>
      </c>
      <c r="L157" s="126"/>
      <c r="M157" s="126"/>
      <c r="N157" s="127" t="s">
        <v>138</v>
      </c>
      <c r="O157" s="128" t="s">
        <v>139</v>
      </c>
      <c r="P157" s="126" t="s">
        <v>122</v>
      </c>
      <c r="Q157" s="129" t="s">
        <v>582</v>
      </c>
      <c r="R157" s="130" t="s">
        <v>583</v>
      </c>
      <c r="S157" s="131" t="s">
        <v>125</v>
      </c>
      <c r="T157" s="132">
        <v>40269</v>
      </c>
      <c r="U157" s="133" t="s">
        <v>499</v>
      </c>
      <c r="V157" s="134" t="s">
        <v>500</v>
      </c>
      <c r="W157" s="118" t="s">
        <v>128</v>
      </c>
      <c r="X157" s="135">
        <v>8479062</v>
      </c>
      <c r="Y157" s="135">
        <v>8479062</v>
      </c>
      <c r="Z157" s="136">
        <v>1</v>
      </c>
      <c r="AA157" s="127"/>
      <c r="AB157" s="127"/>
      <c r="AC157" s="127" t="s">
        <v>129</v>
      </c>
      <c r="AD157" s="137" t="s">
        <v>146</v>
      </c>
      <c r="AE157" s="138"/>
      <c r="AF157" s="125"/>
      <c r="AG157" s="117" t="s">
        <v>131</v>
      </c>
      <c r="AH157" s="139" t="s">
        <v>132</v>
      </c>
      <c r="AJ157" s="120"/>
      <c r="AK157" s="120" t="s">
        <v>147</v>
      </c>
      <c r="AL157" s="140" t="str">
        <f>VLOOKUP(AK157,'[3]17見直し計画'!$A$50:$AJ$584,6,0)</f>
        <v>　見直し計画策定以降の新規案件</v>
      </c>
      <c r="AM157" s="140">
        <f>VLOOKUP(AK157,'[3]17見直し計画'!$A$50:$AJ$584,8,0)</f>
        <v>0</v>
      </c>
      <c r="AN157" s="180"/>
      <c r="AO157" s="141">
        <f>VLOOKUP(AK157,'[3]17見直し計画'!$A$50:$AJ$584,11,0)</f>
        <v>0</v>
      </c>
      <c r="AP157" s="140">
        <f>VLOOKUP(AK157,'[3]17見直し計画'!$A$50:$AJ$584,12,0)</f>
        <v>0</v>
      </c>
      <c r="AQ157" s="140">
        <f>VLOOKUP(AK157,'[3]17見直し計画'!$A$50:$AJ$584,13,0)</f>
        <v>0</v>
      </c>
      <c r="AR157" s="140">
        <f>VLOOKUP(AK157,'[3]17見直し計画'!$A$50:$AJ$584,14,0)</f>
        <v>0</v>
      </c>
      <c r="AS157" s="140"/>
      <c r="AT157" s="140">
        <f>VLOOKUP(AK157,'[3]17見直し計画'!$A$50:$AJ$584,35,0)</f>
        <v>0</v>
      </c>
      <c r="AU157" s="140">
        <f>VLOOKUP(AK157,'[3]17見直し計画'!$A$50:$AJ$584,36,0)</f>
        <v>0</v>
      </c>
    </row>
    <row r="158" spans="1:48" ht="105" hidden="1" customHeight="1">
      <c r="B158" s="126" t="s">
        <v>193</v>
      </c>
      <c r="C158" s="143" t="s">
        <v>135</v>
      </c>
      <c r="D158" s="143" t="s">
        <v>136</v>
      </c>
      <c r="E158">
        <f t="shared" si="25"/>
        <v>72</v>
      </c>
      <c r="F158" s="122">
        <v>72</v>
      </c>
      <c r="G158" s="123">
        <v>72</v>
      </c>
      <c r="H158" s="124">
        <v>2200234</v>
      </c>
      <c r="I158" s="125"/>
      <c r="J158" s="126" t="s">
        <v>584</v>
      </c>
      <c r="K158" s="124" t="s">
        <v>461</v>
      </c>
      <c r="L158" s="126"/>
      <c r="M158" s="126"/>
      <c r="N158" s="127" t="s">
        <v>138</v>
      </c>
      <c r="O158" s="128" t="s">
        <v>139</v>
      </c>
      <c r="P158" s="126" t="s">
        <v>122</v>
      </c>
      <c r="Q158" s="129" t="s">
        <v>585</v>
      </c>
      <c r="R158" s="130" t="s">
        <v>586</v>
      </c>
      <c r="S158" s="131" t="s">
        <v>125</v>
      </c>
      <c r="T158" s="132">
        <v>40269</v>
      </c>
      <c r="U158" s="133" t="s">
        <v>242</v>
      </c>
      <c r="V158" s="134" t="s">
        <v>154</v>
      </c>
      <c r="W158" s="118" t="s">
        <v>128</v>
      </c>
      <c r="X158" s="135">
        <v>8254668</v>
      </c>
      <c r="Y158" s="135">
        <v>8254668</v>
      </c>
      <c r="Z158" s="136">
        <v>1</v>
      </c>
      <c r="AA158" s="127"/>
      <c r="AB158" s="127"/>
      <c r="AC158" s="127" t="s">
        <v>129</v>
      </c>
      <c r="AD158" s="137" t="s">
        <v>146</v>
      </c>
      <c r="AE158" s="138"/>
      <c r="AF158" s="125"/>
      <c r="AG158" s="117" t="s">
        <v>131</v>
      </c>
      <c r="AH158" s="139" t="s">
        <v>132</v>
      </c>
      <c r="AJ158" s="179" t="s">
        <v>587</v>
      </c>
      <c r="AK158" s="120" t="s">
        <v>147</v>
      </c>
      <c r="AL158" s="140" t="str">
        <f>VLOOKUP(AK158,'[3]17見直し計画'!$A$50:$AJ$584,6,0)</f>
        <v>　見直し計画策定以降の新規案件</v>
      </c>
      <c r="AM158" s="140">
        <f>VLOOKUP(AK158,'[3]17見直し計画'!$A$50:$AJ$584,8,0)</f>
        <v>0</v>
      </c>
      <c r="AN158" s="180"/>
      <c r="AO158" s="141">
        <f>VLOOKUP(AK158,'[3]17見直し計画'!$A$50:$AJ$584,11,0)</f>
        <v>0</v>
      </c>
      <c r="AP158" s="140">
        <f>VLOOKUP(AK158,'[3]17見直し計画'!$A$50:$AJ$584,12,0)</f>
        <v>0</v>
      </c>
      <c r="AQ158" s="140">
        <f>VLOOKUP(AK158,'[3]17見直し計画'!$A$50:$AJ$584,13,0)</f>
        <v>0</v>
      </c>
      <c r="AR158" s="140">
        <f>VLOOKUP(AK158,'[3]17見直し計画'!$A$50:$AJ$584,14,0)</f>
        <v>0</v>
      </c>
      <c r="AS158" s="140"/>
      <c r="AT158" s="140">
        <f>VLOOKUP(AK158,'[3]17見直し計画'!$A$50:$AJ$584,35,0)</f>
        <v>0</v>
      </c>
      <c r="AU158" s="140">
        <f>VLOOKUP(AK158,'[3]17見直し計画'!$A$50:$AJ$584,36,0)</f>
        <v>0</v>
      </c>
    </row>
    <row r="159" spans="1:48" ht="184.5" hidden="1" customHeight="1">
      <c r="A159" t="s">
        <v>148</v>
      </c>
      <c r="B159" s="126" t="s">
        <v>588</v>
      </c>
      <c r="C159" s="143" t="s">
        <v>174</v>
      </c>
      <c r="D159" s="143" t="s">
        <v>589</v>
      </c>
      <c r="E159">
        <f t="shared" si="25"/>
        <v>73</v>
      </c>
      <c r="F159" s="122">
        <v>73</v>
      </c>
      <c r="G159" s="123">
        <v>73</v>
      </c>
      <c r="H159" s="124">
        <v>2200129</v>
      </c>
      <c r="I159" s="125"/>
      <c r="J159" s="124" t="s">
        <v>590</v>
      </c>
      <c r="K159" s="124" t="s">
        <v>345</v>
      </c>
      <c r="L159" s="126"/>
      <c r="M159" s="126"/>
      <c r="N159" s="127" t="s">
        <v>138</v>
      </c>
      <c r="O159" s="128" t="s">
        <v>139</v>
      </c>
      <c r="P159" s="126" t="s">
        <v>122</v>
      </c>
      <c r="Q159" s="129" t="s">
        <v>591</v>
      </c>
      <c r="R159" s="130" t="s">
        <v>592</v>
      </c>
      <c r="S159" s="131" t="s">
        <v>125</v>
      </c>
      <c r="T159" s="132">
        <v>40269</v>
      </c>
      <c r="U159" s="133" t="s">
        <v>593</v>
      </c>
      <c r="V159" s="134" t="s">
        <v>594</v>
      </c>
      <c r="W159" s="118" t="s">
        <v>299</v>
      </c>
      <c r="X159" s="135">
        <v>7793100</v>
      </c>
      <c r="Y159" s="135">
        <v>7793100</v>
      </c>
      <c r="Z159" s="136">
        <v>1</v>
      </c>
      <c r="AA159" s="127"/>
      <c r="AB159" s="127"/>
      <c r="AC159" s="127" t="s">
        <v>129</v>
      </c>
      <c r="AD159" s="137" t="s">
        <v>146</v>
      </c>
      <c r="AE159" s="138"/>
      <c r="AF159" s="125"/>
      <c r="AG159" s="117" t="s">
        <v>131</v>
      </c>
      <c r="AH159" s="139" t="s">
        <v>132</v>
      </c>
      <c r="AJ159" s="179" t="s">
        <v>595</v>
      </c>
      <c r="AK159" s="120" t="s">
        <v>596</v>
      </c>
      <c r="AL159" s="140" t="str">
        <f>VLOOKUP(AK159,'[3]17見直し計画'!$A$50:$AJ$584,6,0)</f>
        <v>エヌ・ティ・ティ・コムウェア株式会社</v>
      </c>
      <c r="AM159" s="140" t="str">
        <f>VLOOKUP(AK159,'[3]17見直し計画'!$A$50:$AJ$584,8,0)</f>
        <v>「在外経理システム」運用支援業務</v>
      </c>
      <c r="AN159" s="180">
        <f>VLOOKUP(AK159,'[3]17見直し計画'!$A$50:$AJ$584,10,0)</f>
        <v>38443</v>
      </c>
      <c r="AO159" s="141">
        <f>VLOOKUP(AK159,'[3]17見直し計画'!$A$50:$AJ$584,11,0)</f>
        <v>10143000</v>
      </c>
      <c r="AP159" s="140" t="str">
        <f>VLOOKUP(AK159,'[3]17見直し計画'!$A$50:$AJ$584,12,0)</f>
        <v>システムの運用を円滑にし、障害発生時の対応を迅速にするためには全体機能を熟知している開発元のシステムエンジニアレベルの保守員が必要であり、業務効率・費用面から考えて他に競争を許さない（会計法第２９条の３第４項）。</v>
      </c>
      <c r="AQ159" s="140" t="str">
        <f>VLOOKUP(AK159,'[3]17見直し計画'!$A$50:$AJ$584,13,0)</f>
        <v>見直しの余地があるもの</v>
      </c>
      <c r="AR159" s="140" t="str">
        <f>VLOOKUP(AK159,'[3]17見直し計画'!$A$50:$AJ$584,14,0)</f>
        <v>現行システムを全面改造(新たに開発）する際に、本契約の競争入札への移行を検討する</v>
      </c>
      <c r="AS159" s="140"/>
      <c r="AT159" s="140" t="str">
        <f>VLOOKUP(AK159,'[3]17見直し計画'!$A$50:$AJ$584,35,0)</f>
        <v>本件は、システム開発業者を選定する際に実施した一般競争入札時の条件で、「運用保守・支援体制」も経費に含めており、また、システムの再構築は費用対効果・効率性から合理的でないため、設備の入れ替え、システムの更新時に一般競争入札の実施を予定している。なお、システムの運用を円滑にし、障害発生時の対応を迅速にするためには全体機能を熟知している開発元のシステムエンジニアレベルの保守員が業務効率・費用面から考えて必要である。</v>
      </c>
      <c r="AU159" s="140" t="str">
        <f>VLOOKUP(AK159,'[3]17見直し計画'!$A$50:$AJ$584,36,0)</f>
        <v>移行時期については、在外経理システムの最適化計画及び外務省情報ネットワーク最適化計画に基づく開発作業の進捗に大きく影響されるところ、現時点において確定することは困難であるが、新たな在外経理システム（平成24年度予定）の移行時期を踏まえ、検討していく。</v>
      </c>
      <c r="AV159" t="s">
        <v>148</v>
      </c>
    </row>
    <row r="160" spans="1:48" ht="105" hidden="1" customHeight="1">
      <c r="B160" s="126" t="s">
        <v>193</v>
      </c>
      <c r="C160" s="143" t="s">
        <v>135</v>
      </c>
      <c r="D160" s="143" t="s">
        <v>136</v>
      </c>
      <c r="E160">
        <f t="shared" si="25"/>
        <v>74</v>
      </c>
      <c r="F160" s="122">
        <v>74</v>
      </c>
      <c r="G160" s="123">
        <v>74</v>
      </c>
      <c r="H160" s="124">
        <v>2200329</v>
      </c>
      <c r="I160" s="125"/>
      <c r="J160" s="124" t="s">
        <v>597</v>
      </c>
      <c r="K160" s="124" t="s">
        <v>461</v>
      </c>
      <c r="L160" s="126"/>
      <c r="M160" s="126"/>
      <c r="N160" s="127" t="s">
        <v>138</v>
      </c>
      <c r="O160" s="128" t="s">
        <v>139</v>
      </c>
      <c r="P160" s="126" t="s">
        <v>122</v>
      </c>
      <c r="Q160" s="129" t="s">
        <v>598</v>
      </c>
      <c r="R160" s="130" t="s">
        <v>338</v>
      </c>
      <c r="S160" s="131" t="s">
        <v>125</v>
      </c>
      <c r="T160" s="132">
        <v>40269</v>
      </c>
      <c r="U160" s="133" t="s">
        <v>242</v>
      </c>
      <c r="V160" s="134" t="s">
        <v>243</v>
      </c>
      <c r="W160" s="118" t="s">
        <v>128</v>
      </c>
      <c r="X160" s="135">
        <v>7769950</v>
      </c>
      <c r="Y160" s="135">
        <v>7769950</v>
      </c>
      <c r="Z160" s="136">
        <v>1</v>
      </c>
      <c r="AA160" s="127"/>
      <c r="AB160" s="127"/>
      <c r="AC160" s="127" t="s">
        <v>129</v>
      </c>
      <c r="AD160" s="137" t="s">
        <v>146</v>
      </c>
      <c r="AE160" s="138"/>
      <c r="AF160" s="125"/>
      <c r="AG160" s="117" t="s">
        <v>131</v>
      </c>
      <c r="AH160" s="139" t="s">
        <v>132</v>
      </c>
      <c r="AJ160" s="179" t="s">
        <v>599</v>
      </c>
      <c r="AK160" s="120" t="s">
        <v>147</v>
      </c>
      <c r="AL160" s="140" t="str">
        <f>VLOOKUP(AK160,'[3]17見直し計画'!$A$50:$AJ$584,6,0)</f>
        <v>　見直し計画策定以降の新規案件</v>
      </c>
      <c r="AM160" s="140">
        <f>VLOOKUP(AK160,'[3]17見直し計画'!$A$50:$AJ$584,8,0)</f>
        <v>0</v>
      </c>
      <c r="AN160" s="180"/>
      <c r="AO160" s="141">
        <f>VLOOKUP(AK160,'[3]17見直し計画'!$A$50:$AJ$584,11,0)</f>
        <v>0</v>
      </c>
      <c r="AP160" s="140">
        <f>VLOOKUP(AK160,'[3]17見直し計画'!$A$50:$AJ$584,12,0)</f>
        <v>0</v>
      </c>
      <c r="AQ160" s="140">
        <f>VLOOKUP(AK160,'[3]17見直し計画'!$A$50:$AJ$584,13,0)</f>
        <v>0</v>
      </c>
      <c r="AR160" s="140">
        <f>VLOOKUP(AK160,'[3]17見直し計画'!$A$50:$AJ$584,14,0)</f>
        <v>0</v>
      </c>
      <c r="AS160" s="140"/>
      <c r="AT160" s="140">
        <f>VLOOKUP(AK160,'[3]17見直し計画'!$A$50:$AJ$584,35,0)</f>
        <v>0</v>
      </c>
      <c r="AU160" s="140">
        <f>VLOOKUP(AK160,'[3]17見直し計画'!$A$50:$AJ$584,36,0)</f>
        <v>0</v>
      </c>
    </row>
    <row r="161" spans="1:53" ht="105" hidden="1" customHeight="1">
      <c r="B161" s="126" t="s">
        <v>134</v>
      </c>
      <c r="C161" s="143" t="s">
        <v>135</v>
      </c>
      <c r="D161" s="143" t="s">
        <v>136</v>
      </c>
      <c r="E161">
        <f t="shared" si="25"/>
        <v>75</v>
      </c>
      <c r="F161" s="122">
        <v>75</v>
      </c>
      <c r="G161" s="123">
        <v>75</v>
      </c>
      <c r="H161" s="124">
        <v>2200201</v>
      </c>
      <c r="I161" s="125"/>
      <c r="J161" s="126" t="s">
        <v>600</v>
      </c>
      <c r="K161" s="124" t="s">
        <v>286</v>
      </c>
      <c r="L161" s="126"/>
      <c r="M161" s="126"/>
      <c r="N161" s="127" t="s">
        <v>138</v>
      </c>
      <c r="O161" s="128" t="s">
        <v>139</v>
      </c>
      <c r="P161" s="126" t="s">
        <v>122</v>
      </c>
      <c r="Q161" s="129" t="s">
        <v>601</v>
      </c>
      <c r="R161" s="130" t="s">
        <v>602</v>
      </c>
      <c r="S161" s="131" t="s">
        <v>125</v>
      </c>
      <c r="T161" s="132">
        <v>40269</v>
      </c>
      <c r="U161" s="133" t="s">
        <v>603</v>
      </c>
      <c r="V161" s="134" t="s">
        <v>604</v>
      </c>
      <c r="W161" s="118" t="s">
        <v>299</v>
      </c>
      <c r="X161" s="135">
        <v>7206150</v>
      </c>
      <c r="Y161" s="135">
        <v>7206150</v>
      </c>
      <c r="Z161" s="136">
        <v>1</v>
      </c>
      <c r="AA161" s="127"/>
      <c r="AB161" s="127"/>
      <c r="AC161" s="127" t="s">
        <v>129</v>
      </c>
      <c r="AD161" s="137" t="s">
        <v>146</v>
      </c>
      <c r="AE161" s="138"/>
      <c r="AF161" s="125"/>
      <c r="AG161" s="117" t="s">
        <v>131</v>
      </c>
      <c r="AH161" s="139" t="s">
        <v>132</v>
      </c>
      <c r="AI161" s="177"/>
      <c r="AJ161" s="120"/>
      <c r="AK161" s="120" t="s">
        <v>147</v>
      </c>
      <c r="AL161" s="140" t="str">
        <f>VLOOKUP(AK161,'[3]17見直し計画'!$A$50:$AJ$584,6,0)</f>
        <v>　見直し計画策定以降の新規案件</v>
      </c>
      <c r="AM161" s="140">
        <f>VLOOKUP(AK161,'[3]17見直し計画'!$A$50:$AJ$584,8,0)</f>
        <v>0</v>
      </c>
      <c r="AN161" s="180"/>
      <c r="AO161" s="141">
        <f>VLOOKUP(AK161,'[3]17見直し計画'!$A$50:$AJ$584,11,0)</f>
        <v>0</v>
      </c>
      <c r="AP161" s="140">
        <f>VLOOKUP(AK161,'[3]17見直し計画'!$A$50:$AJ$584,12,0)</f>
        <v>0</v>
      </c>
      <c r="AQ161" s="140">
        <f>VLOOKUP(AK161,'[3]17見直し計画'!$A$50:$AJ$584,13,0)</f>
        <v>0</v>
      </c>
      <c r="AR161" s="140">
        <f>VLOOKUP(AK161,'[3]17見直し計画'!$A$50:$AJ$584,14,0)</f>
        <v>0</v>
      </c>
      <c r="AS161" s="140"/>
      <c r="AT161" s="140">
        <f>VLOOKUP(AK161,'[3]17見直し計画'!$A$50:$AJ$584,35,0)</f>
        <v>0</v>
      </c>
      <c r="AU161" s="140">
        <f>VLOOKUP(AK161,'[3]17見直し計画'!$A$50:$AJ$584,36,0)</f>
        <v>0</v>
      </c>
    </row>
    <row r="162" spans="1:53" ht="105" hidden="1" customHeight="1">
      <c r="B162" s="189"/>
      <c r="C162" s="223"/>
      <c r="D162" s="223" t="s">
        <v>421</v>
      </c>
      <c r="E162" s="184">
        <f t="shared" si="25"/>
        <v>76</v>
      </c>
      <c r="F162" s="185">
        <v>76</v>
      </c>
      <c r="G162" s="186">
        <v>76</v>
      </c>
      <c r="H162" s="187">
        <v>2200462</v>
      </c>
      <c r="I162" s="188"/>
      <c r="J162" s="187" t="s">
        <v>605</v>
      </c>
      <c r="K162" s="187" t="s">
        <v>229</v>
      </c>
      <c r="L162" s="189"/>
      <c r="M162" s="189"/>
      <c r="N162" s="190" t="s">
        <v>230</v>
      </c>
      <c r="O162" s="191" t="s">
        <v>139</v>
      </c>
      <c r="P162" s="189" t="s">
        <v>231</v>
      </c>
      <c r="Q162" s="192" t="s">
        <v>606</v>
      </c>
      <c r="R162" s="193" t="s">
        <v>607</v>
      </c>
      <c r="S162" s="194" t="s">
        <v>125</v>
      </c>
      <c r="T162" s="195">
        <v>40269</v>
      </c>
      <c r="U162" s="196" t="s">
        <v>608</v>
      </c>
      <c r="V162" s="197" t="s">
        <v>609</v>
      </c>
      <c r="W162" s="181" t="s">
        <v>236</v>
      </c>
      <c r="X162" s="198">
        <v>7161000</v>
      </c>
      <c r="Y162" s="198">
        <v>7067445</v>
      </c>
      <c r="Z162" s="199">
        <v>0.98599999999999999</v>
      </c>
      <c r="AA162" s="190"/>
      <c r="AB162" s="190"/>
      <c r="AC162" s="190">
        <v>6</v>
      </c>
      <c r="AD162" s="200" t="s">
        <v>237</v>
      </c>
      <c r="AE162" s="201"/>
      <c r="AF162" s="188"/>
      <c r="AG162" s="202" t="s">
        <v>131</v>
      </c>
      <c r="AH162" s="203" t="s">
        <v>238</v>
      </c>
      <c r="AI162" s="184"/>
      <c r="AJ162" s="182"/>
      <c r="AK162" s="182" t="s">
        <v>147</v>
      </c>
      <c r="AL162" s="204" t="str">
        <f>VLOOKUP(AK162,'[3]17見直し計画'!$A$50:$AJ$584,6,0)</f>
        <v>　見直し計画策定以降の新規案件</v>
      </c>
      <c r="AM162" s="204">
        <f>VLOOKUP(AK162,'[3]17見直し計画'!$A$50:$AJ$584,8,0)</f>
        <v>0</v>
      </c>
      <c r="AN162" s="224"/>
      <c r="AO162" s="205">
        <f>VLOOKUP(AK162,'[3]17見直し計画'!$A$50:$AJ$584,11,0)</f>
        <v>0</v>
      </c>
      <c r="AP162" s="204">
        <f>VLOOKUP(AK162,'[3]17見直し計画'!$A$50:$AJ$584,12,0)</f>
        <v>0</v>
      </c>
      <c r="AQ162" s="204">
        <f>VLOOKUP(AK162,'[3]17見直し計画'!$A$50:$AJ$584,13,0)</f>
        <v>0</v>
      </c>
      <c r="AR162" s="204">
        <f>VLOOKUP(AK162,'[3]17見直し計画'!$A$50:$AJ$584,14,0)</f>
        <v>0</v>
      </c>
      <c r="AS162" s="204"/>
      <c r="AT162" s="204">
        <f>VLOOKUP(AK162,'[3]17見直し計画'!$A$50:$AJ$584,35,0)</f>
        <v>0</v>
      </c>
      <c r="AU162" s="204">
        <f>VLOOKUP(AK162,'[3]17見直し計画'!$A$50:$AJ$584,36,0)</f>
        <v>0</v>
      </c>
    </row>
    <row r="163" spans="1:53" ht="105" hidden="1" customHeight="1">
      <c r="B163" s="126" t="s">
        <v>193</v>
      </c>
      <c r="C163" s="143" t="s">
        <v>135</v>
      </c>
      <c r="D163" s="143" t="s">
        <v>136</v>
      </c>
      <c r="E163">
        <f t="shared" si="25"/>
        <v>77</v>
      </c>
      <c r="F163" s="122">
        <v>77</v>
      </c>
      <c r="G163" s="123">
        <v>77</v>
      </c>
      <c r="H163" s="124">
        <v>2200213</v>
      </c>
      <c r="I163" s="125"/>
      <c r="J163" s="124" t="s">
        <v>610</v>
      </c>
      <c r="K163" s="124" t="s">
        <v>195</v>
      </c>
      <c r="L163" s="126"/>
      <c r="M163" s="126"/>
      <c r="N163" s="127" t="s">
        <v>138</v>
      </c>
      <c r="O163" s="128" t="s">
        <v>139</v>
      </c>
      <c r="P163" s="126" t="s">
        <v>122</v>
      </c>
      <c r="Q163" s="129" t="s">
        <v>611</v>
      </c>
      <c r="R163" s="130" t="s">
        <v>405</v>
      </c>
      <c r="S163" s="131" t="s">
        <v>125</v>
      </c>
      <c r="T163" s="132">
        <v>40269</v>
      </c>
      <c r="U163" s="133" t="s">
        <v>406</v>
      </c>
      <c r="V163" s="134" t="s">
        <v>407</v>
      </c>
      <c r="W163" s="118" t="s">
        <v>128</v>
      </c>
      <c r="X163" s="135">
        <v>6995016</v>
      </c>
      <c r="Y163" s="135">
        <v>6995016</v>
      </c>
      <c r="Z163" s="136">
        <v>1</v>
      </c>
      <c r="AA163" s="127"/>
      <c r="AB163" s="127"/>
      <c r="AC163" s="127" t="s">
        <v>129</v>
      </c>
      <c r="AD163" s="137" t="s">
        <v>146</v>
      </c>
      <c r="AE163" s="138"/>
      <c r="AF163" s="125"/>
      <c r="AG163" s="117" t="s">
        <v>131</v>
      </c>
      <c r="AH163" s="139" t="s">
        <v>132</v>
      </c>
      <c r="AJ163" s="120"/>
      <c r="AK163" s="120" t="s">
        <v>147</v>
      </c>
      <c r="AL163" s="140" t="str">
        <f>VLOOKUP(AK163,'[3]17見直し計画'!$A$50:$AJ$584,6,0)</f>
        <v>　見直し計画策定以降の新規案件</v>
      </c>
      <c r="AM163" s="140">
        <f>VLOOKUP(AK163,'[3]17見直し計画'!$A$50:$AJ$584,8,0)</f>
        <v>0</v>
      </c>
      <c r="AN163" s="180"/>
      <c r="AO163" s="141">
        <f>VLOOKUP(AK163,'[3]17見直し計画'!$A$50:$AJ$584,11,0)</f>
        <v>0</v>
      </c>
      <c r="AP163" s="140">
        <f>VLOOKUP(AK163,'[3]17見直し計画'!$A$50:$AJ$584,12,0)</f>
        <v>0</v>
      </c>
      <c r="AQ163" s="140">
        <f>VLOOKUP(AK163,'[3]17見直し計画'!$A$50:$AJ$584,13,0)</f>
        <v>0</v>
      </c>
      <c r="AR163" s="140">
        <f>VLOOKUP(AK163,'[3]17見直し計画'!$A$50:$AJ$584,14,0)</f>
        <v>0</v>
      </c>
      <c r="AS163" s="140"/>
      <c r="AT163" s="140">
        <f>VLOOKUP(AK163,'[3]17見直し計画'!$A$50:$AJ$584,35,0)</f>
        <v>0</v>
      </c>
      <c r="AU163" s="140">
        <f>VLOOKUP(AK163,'[3]17見直し計画'!$A$50:$AJ$584,36,0)</f>
        <v>0</v>
      </c>
    </row>
    <row r="164" spans="1:53" ht="105" customHeight="1">
      <c r="B164" s="143" t="s">
        <v>549</v>
      </c>
      <c r="C164" s="143" t="s">
        <v>350</v>
      </c>
      <c r="D164" s="143" t="s">
        <v>477</v>
      </c>
      <c r="E164">
        <f t="shared" si="25"/>
        <v>78</v>
      </c>
      <c r="F164" s="122">
        <v>78</v>
      </c>
      <c r="G164" s="123">
        <v>78</v>
      </c>
      <c r="H164" s="124">
        <v>2200030</v>
      </c>
      <c r="I164" s="125"/>
      <c r="J164" s="124"/>
      <c r="K164" s="124" t="s">
        <v>612</v>
      </c>
      <c r="L164" s="126"/>
      <c r="M164" s="126"/>
      <c r="N164" s="127" t="s">
        <v>138</v>
      </c>
      <c r="O164" s="128" t="s">
        <v>139</v>
      </c>
      <c r="P164" s="126" t="s">
        <v>122</v>
      </c>
      <c r="Q164" s="129" t="s">
        <v>613</v>
      </c>
      <c r="R164" s="130" t="s">
        <v>614</v>
      </c>
      <c r="S164" s="131" t="s">
        <v>125</v>
      </c>
      <c r="T164" s="132">
        <v>40269</v>
      </c>
      <c r="U164" s="133" t="s">
        <v>615</v>
      </c>
      <c r="V164" s="134" t="s">
        <v>616</v>
      </c>
      <c r="W164" s="118" t="s">
        <v>617</v>
      </c>
      <c r="X164" s="135">
        <v>6930000</v>
      </c>
      <c r="Y164" s="135">
        <v>6930000</v>
      </c>
      <c r="Z164" s="136">
        <v>1</v>
      </c>
      <c r="AA164" s="127"/>
      <c r="AB164" s="127"/>
      <c r="AC164" s="127" t="s">
        <v>129</v>
      </c>
      <c r="AD164" s="137" t="s">
        <v>146</v>
      </c>
      <c r="AE164" s="138"/>
      <c r="AF164" s="125"/>
      <c r="AG164" s="117" t="s">
        <v>131</v>
      </c>
      <c r="AH164" s="139" t="s">
        <v>132</v>
      </c>
      <c r="AJ164" s="120"/>
      <c r="AK164" s="120" t="s">
        <v>618</v>
      </c>
      <c r="AL164" s="140" t="str">
        <f>VLOOKUP(AK164,'[3]17見直し計画'!$A$50:$AJ$584,6,0)</f>
        <v>株式会社日本ケーブルテレビジョン</v>
      </c>
      <c r="AM164" s="140" t="str">
        <f>VLOOKUP(AK164,'[3]17見直し計画'!$A$50:$AJ$584,8,0)</f>
        <v>ＣＮＮ放送受信契約</v>
      </c>
      <c r="AN164" s="180">
        <f>VLOOKUP(AK164,'[3]17見直し計画'!$A$50:$AJ$584,10,0)</f>
        <v>38443</v>
      </c>
      <c r="AO164" s="141">
        <f>VLOOKUP(AK164,'[3]17見直し計画'!$A$50:$AJ$584,11,0)</f>
        <v>6930000</v>
      </c>
      <c r="AP164" s="140" t="str">
        <f>VLOOKUP(AK164,'[3]17見直し計画'!$A$50:$AJ$584,12,0)</f>
        <v>ＣＮＮ放送を行っているケーブルテレビ会社との放送受信契約であり、他に競争を許さない（会計法第２９条の３第４項）。</v>
      </c>
      <c r="AQ164" s="140" t="str">
        <f>VLOOKUP(AK164,'[3]17見直し計画'!$A$50:$AJ$584,13,0)</f>
        <v>その他のもの</v>
      </c>
      <c r="AR164" s="140" t="str">
        <f>VLOOKUP(AK164,'[3]17見直し計画'!$A$50:$AJ$584,14,0)</f>
        <v>随意契約によらざるを得ないもの</v>
      </c>
      <c r="AS164" s="140"/>
      <c r="AT164" s="140" t="str">
        <f>VLOOKUP(AK164,'[3]17見直し計画'!$A$50:$AJ$584,35,0)</f>
        <v>行政目的を達成するために不可欠な情報の提供</v>
      </c>
      <c r="AU164" s="140" t="str">
        <f>VLOOKUP(AK164,'[3]17見直し計画'!$A$50:$AJ$584,36,0)</f>
        <v>ニ（ヘ）</v>
      </c>
    </row>
    <row r="165" spans="1:53" ht="105" hidden="1" customHeight="1">
      <c r="B165" s="126" t="s">
        <v>218</v>
      </c>
      <c r="C165" s="143" t="s">
        <v>135</v>
      </c>
      <c r="D165" s="143" t="s">
        <v>136</v>
      </c>
      <c r="E165">
        <f>SUM(E164+1)</f>
        <v>79</v>
      </c>
      <c r="F165" s="122">
        <v>79</v>
      </c>
      <c r="G165" s="123">
        <v>79</v>
      </c>
      <c r="H165" s="124">
        <v>2200156</v>
      </c>
      <c r="I165" s="125"/>
      <c r="J165" s="124" t="s">
        <v>619</v>
      </c>
      <c r="K165" s="124" t="s">
        <v>353</v>
      </c>
      <c r="L165" s="126"/>
      <c r="M165" s="126"/>
      <c r="N165" s="127" t="s">
        <v>138</v>
      </c>
      <c r="O165" s="128" t="s">
        <v>139</v>
      </c>
      <c r="P165" s="126" t="s">
        <v>122</v>
      </c>
      <c r="Q165" s="129" t="s">
        <v>620</v>
      </c>
      <c r="R165" s="130" t="s">
        <v>621</v>
      </c>
      <c r="S165" s="131" t="s">
        <v>125</v>
      </c>
      <c r="T165" s="132">
        <v>40269</v>
      </c>
      <c r="U165" s="133" t="s">
        <v>622</v>
      </c>
      <c r="V165" s="134" t="s">
        <v>623</v>
      </c>
      <c r="W165" s="118" t="s">
        <v>624</v>
      </c>
      <c r="X165" s="135">
        <v>6930000</v>
      </c>
      <c r="Y165" s="135">
        <v>6930000</v>
      </c>
      <c r="Z165" s="136">
        <v>1</v>
      </c>
      <c r="AA165" s="127"/>
      <c r="AB165" s="127"/>
      <c r="AC165" s="127" t="s">
        <v>129</v>
      </c>
      <c r="AD165" s="137" t="s">
        <v>146</v>
      </c>
      <c r="AE165" s="138"/>
      <c r="AF165" s="125"/>
      <c r="AG165" s="117" t="s">
        <v>131</v>
      </c>
      <c r="AH165" s="139" t="s">
        <v>132</v>
      </c>
      <c r="AJ165" s="120"/>
      <c r="AK165" s="178" t="s">
        <v>147</v>
      </c>
      <c r="AL165" s="140" t="str">
        <f>VLOOKUP(AK165,'[3]17見直し計画'!$A$50:$AJ$584,6,0)</f>
        <v>　見直し計画策定以降の新規案件</v>
      </c>
      <c r="AM165" s="140">
        <f>VLOOKUP(AK165,'[3]17見直し計画'!$A$50:$AJ$584,8,0)</f>
        <v>0</v>
      </c>
      <c r="AN165" s="180"/>
      <c r="AO165" s="141">
        <f>VLOOKUP(AK165,'[3]17見直し計画'!$A$50:$AJ$584,11,0)</f>
        <v>0</v>
      </c>
      <c r="AP165" s="140">
        <f>VLOOKUP(AK165,'[3]17見直し計画'!$A$50:$AJ$584,12,0)</f>
        <v>0</v>
      </c>
      <c r="AQ165" s="140">
        <f>VLOOKUP(AK165,'[3]17見直し計画'!$A$50:$AJ$584,13,0)</f>
        <v>0</v>
      </c>
      <c r="AR165" s="140">
        <f>VLOOKUP(AK165,'[3]17見直し計画'!$A$50:$AJ$584,14,0)</f>
        <v>0</v>
      </c>
      <c r="AS165" s="140"/>
      <c r="AT165" s="140">
        <f>VLOOKUP(AK165,'[3]17見直し計画'!$A$50:$AJ$584,35,0)</f>
        <v>0</v>
      </c>
      <c r="AU165" s="140">
        <f>VLOOKUP(AK165,'[3]17見直し計画'!$A$50:$AJ$584,36,0)</f>
        <v>0</v>
      </c>
    </row>
    <row r="166" spans="1:53" ht="105" hidden="1" customHeight="1">
      <c r="B166" s="189"/>
      <c r="C166" s="223"/>
      <c r="D166" s="223" t="s">
        <v>227</v>
      </c>
      <c r="E166" s="184">
        <f t="shared" si="25"/>
        <v>80</v>
      </c>
      <c r="F166" s="185">
        <v>80</v>
      </c>
      <c r="G166" s="186">
        <v>80</v>
      </c>
      <c r="H166" s="187">
        <v>2200170</v>
      </c>
      <c r="I166" s="188"/>
      <c r="J166" s="189" t="s">
        <v>625</v>
      </c>
      <c r="K166" s="187" t="s">
        <v>626</v>
      </c>
      <c r="L166" s="189"/>
      <c r="M166" s="189"/>
      <c r="N166" s="190" t="s">
        <v>230</v>
      </c>
      <c r="O166" s="191" t="s">
        <v>139</v>
      </c>
      <c r="P166" s="189" t="s">
        <v>231</v>
      </c>
      <c r="Q166" s="192" t="s">
        <v>627</v>
      </c>
      <c r="R166" s="193" t="s">
        <v>628</v>
      </c>
      <c r="S166" s="194" t="s">
        <v>125</v>
      </c>
      <c r="T166" s="195">
        <v>40269</v>
      </c>
      <c r="U166" s="196" t="s">
        <v>629</v>
      </c>
      <c r="V166" s="197" t="s">
        <v>630</v>
      </c>
      <c r="W166" s="181" t="s">
        <v>236</v>
      </c>
      <c r="X166" s="198">
        <v>6457500</v>
      </c>
      <c r="Y166" s="198">
        <v>6457500</v>
      </c>
      <c r="Z166" s="199">
        <v>1</v>
      </c>
      <c r="AA166" s="190"/>
      <c r="AB166" s="190"/>
      <c r="AC166" s="190">
        <v>1</v>
      </c>
      <c r="AD166" s="200" t="s">
        <v>631</v>
      </c>
      <c r="AE166" s="201"/>
      <c r="AF166" s="188"/>
      <c r="AG166" s="202" t="s">
        <v>131</v>
      </c>
      <c r="AH166" s="203" t="s">
        <v>171</v>
      </c>
      <c r="AI166" s="184"/>
      <c r="AJ166" s="182"/>
      <c r="AK166" s="182" t="s">
        <v>632</v>
      </c>
      <c r="AL166" s="204" t="str">
        <f>VLOOKUP(AK166,'[3]17見直し計画'!$A$50:$AJ$584,6,0)</f>
        <v>財団法人日本システム開発研究所</v>
      </c>
      <c r="AM166" s="204" t="str">
        <f>VLOOKUP(AK166,'[3]17見直し計画'!$A$50:$AJ$584,8,0)</f>
        <v>「外交関係報道対策に係る調査・分析」業務委嘱</v>
      </c>
      <c r="AN166" s="224">
        <f>VLOOKUP(AK166,'[3]17見直し計画'!$A$50:$AJ$584,10,0)</f>
        <v>38644</v>
      </c>
      <c r="AO166" s="205">
        <f>VLOOKUP(AK166,'[3]17見直し計画'!$A$50:$AJ$584,11,0)</f>
        <v>2520000</v>
      </c>
      <c r="AP166" s="204" t="str">
        <f>VLOOKUP(AK166,'[3]17見直し計画'!$A$50:$AJ$584,12,0)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166" s="204" t="str">
        <f>VLOOKUP(AK166,'[3]17見直し計画'!$A$50:$AJ$584,13,0)</f>
        <v>見直しの余地があるもの</v>
      </c>
      <c r="AR166" s="204" t="str">
        <f>VLOOKUP(AK166,'[3]17見直し計画'!$A$50:$AJ$584,14,0)</f>
        <v>企画招請を実施（１８年度以降も引き続き実施）</v>
      </c>
      <c r="AS166" s="204"/>
      <c r="AT166" s="204">
        <f>VLOOKUP(AK166,'[3]17見直し計画'!$A$50:$AJ$584,35,0)</f>
        <v>0</v>
      </c>
      <c r="AU166" s="204">
        <f>VLOOKUP(AK166,'[3]17見直し計画'!$A$50:$AJ$584,36,0)</f>
        <v>0</v>
      </c>
    </row>
    <row r="167" spans="1:53" ht="105" hidden="1" customHeight="1">
      <c r="A167" t="s">
        <v>633</v>
      </c>
      <c r="B167" s="143" t="s">
        <v>390</v>
      </c>
      <c r="C167" s="143" t="s">
        <v>391</v>
      </c>
      <c r="D167" s="143" t="s">
        <v>589</v>
      </c>
      <c r="E167">
        <f t="shared" si="25"/>
        <v>81</v>
      </c>
      <c r="F167" s="122">
        <v>81</v>
      </c>
      <c r="G167" s="123">
        <v>81</v>
      </c>
      <c r="H167" s="124">
        <v>2200358</v>
      </c>
      <c r="I167" s="125"/>
      <c r="J167" s="124" t="s">
        <v>634</v>
      </c>
      <c r="K167" s="124" t="s">
        <v>286</v>
      </c>
      <c r="L167" s="126"/>
      <c r="M167" s="126"/>
      <c r="N167" s="127" t="s">
        <v>138</v>
      </c>
      <c r="O167" s="128" t="s">
        <v>139</v>
      </c>
      <c r="P167" s="126" t="s">
        <v>122</v>
      </c>
      <c r="Q167" s="129" t="s">
        <v>635</v>
      </c>
      <c r="R167" s="130" t="s">
        <v>636</v>
      </c>
      <c r="S167" s="131" t="s">
        <v>125</v>
      </c>
      <c r="T167" s="132">
        <v>40269</v>
      </c>
      <c r="U167" s="133" t="s">
        <v>622</v>
      </c>
      <c r="V167" s="134" t="s">
        <v>623</v>
      </c>
      <c r="W167" s="118" t="s">
        <v>366</v>
      </c>
      <c r="X167" s="135">
        <v>6106800</v>
      </c>
      <c r="Y167" s="135">
        <v>6106800</v>
      </c>
      <c r="Z167" s="136">
        <v>1</v>
      </c>
      <c r="AA167" s="127"/>
      <c r="AB167" s="127"/>
      <c r="AC167" s="127" t="s">
        <v>129</v>
      </c>
      <c r="AD167" s="137" t="s">
        <v>146</v>
      </c>
      <c r="AE167" s="138"/>
      <c r="AF167" s="125"/>
      <c r="AG167" s="117" t="s">
        <v>131</v>
      </c>
      <c r="AH167" s="139" t="s">
        <v>132</v>
      </c>
      <c r="AJ167" s="120"/>
      <c r="AK167" s="120" t="s">
        <v>637</v>
      </c>
      <c r="AL167" s="140" t="str">
        <f>VLOOKUP(AK167,'[3]17見直し計画'!$A$50:$AJ$584,6,0)</f>
        <v>株式会社リコー</v>
      </c>
      <c r="AM167" s="140" t="str">
        <f>VLOOKUP(AK167,'[3]17見直し計画'!$A$50:$AJ$584,8,0)</f>
        <v>「旅費ネットワークシステム」一式の保守契約</v>
      </c>
      <c r="AN167" s="180">
        <f>VLOOKUP(AK167,'[3]17見直し計画'!$A$50:$AJ$584,10,0)</f>
        <v>38443</v>
      </c>
      <c r="AO167" s="141">
        <f>VLOOKUP(AK167,'[3]17見直し計画'!$A$50:$AJ$584,11,0)</f>
        <v>5226900</v>
      </c>
      <c r="AP167" s="140" t="str">
        <f>VLOOKUP(AK167,'[3]17見直し計画'!$A$50:$AJ$584,12,0)</f>
        <v>本システムは開発業者が著作権を有する旅費計算システムを当省の業務に合わせカスタマイズしたものであり、その保守・運用・改修等を行えるのは当該業者以外になく、他に競争を許さない（会計法第２９条の３第４項）。</v>
      </c>
      <c r="AQ167" s="140" t="str">
        <f>VLOOKUP(AK167,'[3]17見直し計画'!$A$50:$AJ$584,13,0)</f>
        <v>見直しの余地があるもの</v>
      </c>
      <c r="AR167" s="140" t="str">
        <f>VLOOKUP(AK167,'[3]17見直し計画'!$A$50:$AJ$584,14,0)</f>
        <v>競争入札へ移行（平成２０年度以降のシステムの再構築時に実施予定）</v>
      </c>
      <c r="AS167" s="140"/>
      <c r="AT167" s="140" t="str">
        <f>VLOOKUP(AK167,'[3]17見直し計画'!$A$50:$AJ$584,35,0)</f>
        <v>府省共通システム(SEABIS)の導入が平成２０年度から２２年度に延長となったため、同システム導入に伴い平成２２年度以降競争入札を実施。</v>
      </c>
      <c r="AU167" s="140" t="str">
        <f>VLOOKUP(AK167,'[3]17見直し計画'!$A$50:$AJ$584,36,0)</f>
        <v>平成22年度</v>
      </c>
      <c r="AV167" s="766" t="s">
        <v>638</v>
      </c>
      <c r="AW167" s="767"/>
      <c r="AX167" s="767"/>
      <c r="AY167" s="767"/>
      <c r="AZ167" s="767"/>
      <c r="BA167" s="767"/>
    </row>
    <row r="168" spans="1:53" ht="105" customHeight="1">
      <c r="B168" s="143" t="s">
        <v>549</v>
      </c>
      <c r="C168" s="143" t="s">
        <v>550</v>
      </c>
      <c r="D168" s="143" t="s">
        <v>351</v>
      </c>
      <c r="E168">
        <f t="shared" si="25"/>
        <v>82</v>
      </c>
      <c r="F168" s="122">
        <v>82</v>
      </c>
      <c r="G168" s="123">
        <v>82</v>
      </c>
      <c r="H168" s="124">
        <v>2200327</v>
      </c>
      <c r="I168" s="125"/>
      <c r="J168" s="124" t="s">
        <v>639</v>
      </c>
      <c r="K168" s="124" t="s">
        <v>640</v>
      </c>
      <c r="L168" s="126"/>
      <c r="M168" s="126"/>
      <c r="N168" s="127" t="s">
        <v>138</v>
      </c>
      <c r="O168" s="128" t="s">
        <v>139</v>
      </c>
      <c r="P168" s="126" t="s">
        <v>122</v>
      </c>
      <c r="Q168" s="129" t="s">
        <v>641</v>
      </c>
      <c r="R168" s="130" t="s">
        <v>642</v>
      </c>
      <c r="S168" s="131" t="s">
        <v>125</v>
      </c>
      <c r="T168" s="132">
        <v>40269</v>
      </c>
      <c r="U168" s="133" t="s">
        <v>643</v>
      </c>
      <c r="V168" s="134" t="s">
        <v>644</v>
      </c>
      <c r="W168" s="118" t="s">
        <v>617</v>
      </c>
      <c r="X168" s="135">
        <v>5821200</v>
      </c>
      <c r="Y168" s="135">
        <v>5821200</v>
      </c>
      <c r="Z168" s="136">
        <v>1</v>
      </c>
      <c r="AA168" s="127"/>
      <c r="AB168" s="127"/>
      <c r="AC168" s="127" t="s">
        <v>129</v>
      </c>
      <c r="AD168" s="137" t="s">
        <v>146</v>
      </c>
      <c r="AE168" s="138"/>
      <c r="AF168" s="125"/>
      <c r="AG168" s="117" t="s">
        <v>131</v>
      </c>
      <c r="AH168" s="139" t="s">
        <v>132</v>
      </c>
      <c r="AJ168" s="120"/>
      <c r="AK168" s="120" t="s">
        <v>645</v>
      </c>
      <c r="AL168" s="140" t="str">
        <f>VLOOKUP(AK168,'[3]17見直し計画'!$A$50:$AJ$584,6,0)</f>
        <v>東洋オフィスメーション株式会社</v>
      </c>
      <c r="AM168" s="140" t="str">
        <f>VLOOKUP(AK168,'[3]17見直し計画'!$A$50:$AJ$584,8,0)</f>
        <v>「Ｏxford Analytica Daily Brief」に関する契約（継続）</v>
      </c>
      <c r="AN168" s="180">
        <f>VLOOKUP(AK168,'[3]17見直し計画'!$A$50:$AJ$584,10,0)</f>
        <v>38443</v>
      </c>
      <c r="AO168" s="141">
        <f>VLOOKUP(AK168,'[3]17見直し計画'!$A$50:$AJ$584,11,0)</f>
        <v>5544000</v>
      </c>
      <c r="AP168" s="140" t="str">
        <f>VLOOKUP(AK168,'[3]17見直し計画'!$A$50:$AJ$584,12,0)</f>
        <v>本件データベースサービスの運用・情報提供を行う会社との契約であり、他に競争を許さない（会計法第２９条の３第４項）。</v>
      </c>
      <c r="AQ168" s="140" t="str">
        <f>VLOOKUP(AK168,'[3]17見直し計画'!$A$50:$AJ$584,13,0)</f>
        <v>その他のもの</v>
      </c>
      <c r="AR168" s="140" t="str">
        <f>VLOOKUP(AK168,'[3]17見直し計画'!$A$50:$AJ$584,14,0)</f>
        <v>随意契約によらざるを得ないもの</v>
      </c>
      <c r="AS168" s="140"/>
      <c r="AT168" s="140" t="str">
        <f>VLOOKUP(AK168,'[3]17見直し計画'!$A$50:$AJ$584,35,0)</f>
        <v>行政目的を達成するために不可欠な情報の提供</v>
      </c>
      <c r="AU168" s="140" t="str">
        <f>VLOOKUP(AK168,'[3]17見直し計画'!$A$50:$AJ$584,36,0)</f>
        <v>ニ（ヘ）</v>
      </c>
    </row>
    <row r="169" spans="1:53" ht="105" hidden="1" customHeight="1">
      <c r="B169" s="126" t="s">
        <v>335</v>
      </c>
      <c r="C169" s="143" t="s">
        <v>135</v>
      </c>
      <c r="D169" s="143" t="s">
        <v>136</v>
      </c>
      <c r="E169">
        <f>SUM(E168+1)</f>
        <v>83</v>
      </c>
      <c r="F169" s="122">
        <v>83</v>
      </c>
      <c r="G169" s="123">
        <v>83</v>
      </c>
      <c r="H169" s="124">
        <v>2200121</v>
      </c>
      <c r="I169" s="125"/>
      <c r="J169" s="124" t="s">
        <v>646</v>
      </c>
      <c r="K169" s="124" t="s">
        <v>195</v>
      </c>
      <c r="L169" s="126"/>
      <c r="M169" s="126"/>
      <c r="N169" s="127" t="s">
        <v>138</v>
      </c>
      <c r="O169" s="128" t="s">
        <v>139</v>
      </c>
      <c r="P169" s="126" t="s">
        <v>122</v>
      </c>
      <c r="Q169" s="129" t="s">
        <v>647</v>
      </c>
      <c r="R169" s="130" t="s">
        <v>648</v>
      </c>
      <c r="S169" s="131" t="s">
        <v>125</v>
      </c>
      <c r="T169" s="132">
        <v>40269</v>
      </c>
      <c r="U169" s="133" t="s">
        <v>242</v>
      </c>
      <c r="V169" s="134" t="s">
        <v>154</v>
      </c>
      <c r="W169" s="118" t="s">
        <v>155</v>
      </c>
      <c r="X169" s="135">
        <v>5717604</v>
      </c>
      <c r="Y169" s="135">
        <v>5717604</v>
      </c>
      <c r="Z169" s="136">
        <v>1</v>
      </c>
      <c r="AA169" s="127"/>
      <c r="AB169" s="127"/>
      <c r="AC169" s="127" t="s">
        <v>129</v>
      </c>
      <c r="AD169" s="137" t="s">
        <v>146</v>
      </c>
      <c r="AE169" s="138"/>
      <c r="AF169" s="125"/>
      <c r="AG169" s="117" t="s">
        <v>131</v>
      </c>
      <c r="AH169" s="139" t="s">
        <v>132</v>
      </c>
      <c r="AJ169" s="120" t="s">
        <v>156</v>
      </c>
      <c r="AK169" s="120" t="s">
        <v>147</v>
      </c>
      <c r="AL169" s="140" t="str">
        <f>VLOOKUP(AK169,'[3]17見直し計画'!$A$50:$AJ$584,6,0)</f>
        <v>　見直し計画策定以降の新規案件</v>
      </c>
      <c r="AM169" s="140">
        <f>VLOOKUP(AK169,'[3]17見直し計画'!$A$50:$AJ$584,8,0)</f>
        <v>0</v>
      </c>
      <c r="AN169" s="180"/>
      <c r="AO169" s="141">
        <f>VLOOKUP(AK169,'[3]17見直し計画'!$A$50:$AJ$584,11,0)</f>
        <v>0</v>
      </c>
      <c r="AP169" s="140">
        <f>VLOOKUP(AK169,'[3]17見直し計画'!$A$50:$AJ$584,12,0)</f>
        <v>0</v>
      </c>
      <c r="AQ169" s="140">
        <f>VLOOKUP(AK169,'[3]17見直し計画'!$A$50:$AJ$584,13,0)</f>
        <v>0</v>
      </c>
      <c r="AR169" s="140">
        <f>VLOOKUP(AK169,'[3]17見直し計画'!$A$50:$AJ$584,14,0)</f>
        <v>0</v>
      </c>
      <c r="AS169" s="140"/>
      <c r="AT169" s="140">
        <f>VLOOKUP(AK169,'[3]17見直し計画'!$A$50:$AJ$584,35,0)</f>
        <v>0</v>
      </c>
      <c r="AU169" s="140">
        <f>VLOOKUP(AK169,'[3]17見直し計画'!$A$50:$AJ$584,36,0)</f>
        <v>0</v>
      </c>
    </row>
    <row r="170" spans="1:53" ht="105" hidden="1" customHeight="1">
      <c r="B170" s="126" t="s">
        <v>218</v>
      </c>
      <c r="C170" s="143" t="s">
        <v>135</v>
      </c>
      <c r="D170" s="143" t="s">
        <v>136</v>
      </c>
      <c r="E170">
        <f t="shared" si="25"/>
        <v>84</v>
      </c>
      <c r="F170" s="122">
        <v>84</v>
      </c>
      <c r="G170" s="123">
        <v>84</v>
      </c>
      <c r="H170" s="124">
        <v>2200139</v>
      </c>
      <c r="I170" s="125"/>
      <c r="J170" s="124" t="s">
        <v>649</v>
      </c>
      <c r="K170" s="124" t="s">
        <v>345</v>
      </c>
      <c r="L170" s="126"/>
      <c r="M170" s="126"/>
      <c r="N170" s="127" t="s">
        <v>138</v>
      </c>
      <c r="O170" s="128" t="s">
        <v>139</v>
      </c>
      <c r="P170" s="126" t="s">
        <v>122</v>
      </c>
      <c r="Q170" s="129" t="s">
        <v>650</v>
      </c>
      <c r="R170" s="130" t="s">
        <v>651</v>
      </c>
      <c r="S170" s="131" t="s">
        <v>125</v>
      </c>
      <c r="T170" s="132">
        <v>40269</v>
      </c>
      <c r="U170" s="133" t="s">
        <v>303</v>
      </c>
      <c r="V170" s="134" t="s">
        <v>304</v>
      </c>
      <c r="W170" s="118" t="s">
        <v>299</v>
      </c>
      <c r="X170" s="135">
        <v>5544000</v>
      </c>
      <c r="Y170" s="135">
        <v>5544000</v>
      </c>
      <c r="Z170" s="136">
        <v>1</v>
      </c>
      <c r="AA170" s="127"/>
      <c r="AB170" s="127"/>
      <c r="AC170" s="127" t="s">
        <v>129</v>
      </c>
      <c r="AD170" s="137" t="s">
        <v>146</v>
      </c>
      <c r="AE170" s="138"/>
      <c r="AF170" s="125"/>
      <c r="AG170" s="117" t="s">
        <v>131</v>
      </c>
      <c r="AH170" s="139" t="s">
        <v>132</v>
      </c>
      <c r="AJ170" s="120"/>
      <c r="AK170" s="120" t="s">
        <v>147</v>
      </c>
      <c r="AL170" s="140" t="str">
        <f>VLOOKUP(AK170,'[3]17見直し計画'!$A$50:$AJ$584,6,0)</f>
        <v>　見直し計画策定以降の新規案件</v>
      </c>
      <c r="AM170" s="140">
        <f>VLOOKUP(AK170,'[3]17見直し計画'!$A$50:$AJ$584,8,0)</f>
        <v>0</v>
      </c>
      <c r="AN170" s="180"/>
      <c r="AO170" s="141">
        <f>VLOOKUP(AK170,'[3]17見直し計画'!$A$50:$AJ$584,11,0)</f>
        <v>0</v>
      </c>
      <c r="AP170" s="140">
        <f>VLOOKUP(AK170,'[3]17見直し計画'!$A$50:$AJ$584,12,0)</f>
        <v>0</v>
      </c>
      <c r="AQ170" s="140">
        <f>VLOOKUP(AK170,'[3]17見直し計画'!$A$50:$AJ$584,13,0)</f>
        <v>0</v>
      </c>
      <c r="AR170" s="140">
        <f>VLOOKUP(AK170,'[3]17見直し計画'!$A$50:$AJ$584,14,0)</f>
        <v>0</v>
      </c>
      <c r="AS170" s="140"/>
      <c r="AT170" s="140">
        <f>VLOOKUP(AK170,'[3]17見直し計画'!$A$50:$AJ$584,35,0)</f>
        <v>0</v>
      </c>
      <c r="AU170" s="140">
        <f>VLOOKUP(AK170,'[3]17見直し計画'!$A$50:$AJ$584,36,0)</f>
        <v>0</v>
      </c>
    </row>
    <row r="171" spans="1:53" ht="105" hidden="1" customHeight="1">
      <c r="B171" s="126" t="s">
        <v>134</v>
      </c>
      <c r="C171" s="143" t="s">
        <v>135</v>
      </c>
      <c r="D171" s="143" t="s">
        <v>136</v>
      </c>
      <c r="E171">
        <f t="shared" si="25"/>
        <v>85</v>
      </c>
      <c r="F171" s="122">
        <v>85</v>
      </c>
      <c r="G171" s="123">
        <v>85</v>
      </c>
      <c r="H171" s="124">
        <v>2200447</v>
      </c>
      <c r="I171" s="125"/>
      <c r="J171" s="124" t="s">
        <v>652</v>
      </c>
      <c r="K171" s="124" t="s">
        <v>286</v>
      </c>
      <c r="L171" s="126"/>
      <c r="M171" s="126"/>
      <c r="N171" s="127" t="s">
        <v>138</v>
      </c>
      <c r="O171" s="128" t="s">
        <v>139</v>
      </c>
      <c r="P171" s="126" t="s">
        <v>122</v>
      </c>
      <c r="Q171" s="129" t="s">
        <v>653</v>
      </c>
      <c r="R171" s="130" t="s">
        <v>654</v>
      </c>
      <c r="S171" s="131" t="s">
        <v>125</v>
      </c>
      <c r="T171" s="132">
        <v>40269</v>
      </c>
      <c r="U171" s="133" t="s">
        <v>655</v>
      </c>
      <c r="V171" s="134" t="s">
        <v>656</v>
      </c>
      <c r="W171" s="118" t="s">
        <v>657</v>
      </c>
      <c r="X171" s="135">
        <v>5512500</v>
      </c>
      <c r="Y171" s="135">
        <v>5512500</v>
      </c>
      <c r="Z171" s="136">
        <v>1</v>
      </c>
      <c r="AA171" s="127"/>
      <c r="AB171" s="127"/>
      <c r="AC171" s="127" t="s">
        <v>129</v>
      </c>
      <c r="AD171" s="137" t="s">
        <v>146</v>
      </c>
      <c r="AE171" s="138"/>
      <c r="AF171" s="125"/>
      <c r="AG171" s="117" t="s">
        <v>131</v>
      </c>
      <c r="AH171" s="139" t="s">
        <v>132</v>
      </c>
      <c r="AI171" s="177"/>
      <c r="AJ171" s="179" t="s">
        <v>658</v>
      </c>
      <c r="AK171" s="120" t="s">
        <v>147</v>
      </c>
      <c r="AL171" s="140" t="str">
        <f>VLOOKUP(AK171,'[3]17見直し計画'!$A$50:$AJ$584,6,0)</f>
        <v>　見直し計画策定以降の新規案件</v>
      </c>
      <c r="AM171" s="140">
        <f>VLOOKUP(AK171,'[3]17見直し計画'!$A$50:$AJ$584,8,0)</f>
        <v>0</v>
      </c>
      <c r="AN171" s="180"/>
      <c r="AO171" s="141">
        <f>VLOOKUP(AK171,'[3]17見直し計画'!$A$50:$AJ$584,11,0)</f>
        <v>0</v>
      </c>
      <c r="AP171" s="140">
        <f>VLOOKUP(AK171,'[3]17見直し計画'!$A$50:$AJ$584,12,0)</f>
        <v>0</v>
      </c>
      <c r="AQ171" s="140">
        <f>VLOOKUP(AK171,'[3]17見直し計画'!$A$50:$AJ$584,13,0)</f>
        <v>0</v>
      </c>
      <c r="AR171" s="140">
        <f>VLOOKUP(AK171,'[3]17見直し計画'!$A$50:$AJ$584,14,0)</f>
        <v>0</v>
      </c>
      <c r="AS171" s="140"/>
      <c r="AT171" s="140">
        <f>VLOOKUP(AK171,'[3]17見直し計画'!$A$50:$AJ$584,35,0)</f>
        <v>0</v>
      </c>
      <c r="AU171" s="140">
        <f>VLOOKUP(AK171,'[3]17見直し計画'!$A$50:$AJ$584,36,0)</f>
        <v>0</v>
      </c>
    </row>
    <row r="172" spans="1:53" ht="105" hidden="1" customHeight="1">
      <c r="B172" s="189"/>
      <c r="C172" s="223"/>
      <c r="D172" s="223" t="s">
        <v>659</v>
      </c>
      <c r="E172" s="184">
        <f t="shared" si="25"/>
        <v>86</v>
      </c>
      <c r="F172" s="185">
        <v>86</v>
      </c>
      <c r="G172" s="186">
        <v>86</v>
      </c>
      <c r="H172" s="187">
        <v>2200206</v>
      </c>
      <c r="I172" s="188"/>
      <c r="J172" s="187" t="s">
        <v>660</v>
      </c>
      <c r="K172" s="187" t="s">
        <v>661</v>
      </c>
      <c r="L172" s="189"/>
      <c r="M172" s="189"/>
      <c r="N172" s="190" t="s">
        <v>277</v>
      </c>
      <c r="O172" s="191" t="s">
        <v>121</v>
      </c>
      <c r="P172" s="189" t="s">
        <v>231</v>
      </c>
      <c r="Q172" s="192" t="s">
        <v>662</v>
      </c>
      <c r="R172" s="193" t="s">
        <v>663</v>
      </c>
      <c r="S172" s="194" t="s">
        <v>125</v>
      </c>
      <c r="T172" s="195">
        <v>40269</v>
      </c>
      <c r="U172" s="196" t="s">
        <v>280</v>
      </c>
      <c r="V172" s="197" t="s">
        <v>281</v>
      </c>
      <c r="W172" s="181" t="s">
        <v>236</v>
      </c>
      <c r="X172" s="198">
        <v>5317000</v>
      </c>
      <c r="Y172" s="198">
        <v>5301096</v>
      </c>
      <c r="Z172" s="199">
        <v>0.997</v>
      </c>
      <c r="AA172" s="190">
        <v>1</v>
      </c>
      <c r="AB172" s="190"/>
      <c r="AC172" s="190">
        <v>1</v>
      </c>
      <c r="AD172" s="200" t="s">
        <v>283</v>
      </c>
      <c r="AE172" s="201"/>
      <c r="AF172" s="188"/>
      <c r="AG172" s="202" t="s">
        <v>131</v>
      </c>
      <c r="AH172" s="203" t="s">
        <v>171</v>
      </c>
      <c r="AI172" s="184"/>
      <c r="AJ172" s="182"/>
      <c r="AK172" s="182" t="s">
        <v>664</v>
      </c>
      <c r="AL172" s="204" t="str">
        <f>VLOOKUP(AK172,'[3]17見直し計画'!$A$50:$AJ$584,6,0)</f>
        <v>財団法人　　ラヂオプレス</v>
      </c>
      <c r="AM172" s="204" t="str">
        <f>VLOOKUP(AK172,'[3]17見直し計画'!$A$50:$AJ$584,8,0)</f>
        <v>「サハリン特報：サハリン新聞報道」資料作成経費</v>
      </c>
      <c r="AN172" s="224" t="str">
        <f>VLOOKUP(AK172,'[3]17見直し計画'!$A$50:$AJ$584,10,0)</f>
        <v>平成17/04/01</v>
      </c>
      <c r="AO172" s="205">
        <f>VLOOKUP(AK172,'[3]17見直し計画'!$A$50:$AJ$584,11,0)</f>
        <v>4863252</v>
      </c>
      <c r="AP172" s="204" t="str">
        <f>VLOOKUP(AK172,'[3]17見直し計画'!$A$50:$AJ$584,12,0)</f>
        <v>ＲＰは、２４時間体制でロシアのラジオニュースを聴取し、その翻訳にも高いロシア語能力の人材を豊富に擁し、ソ連時代からの情報・知識・経験の蓄積もあり、本件契約先として適切であることから、本件契約先としてＲＰ以外の選択肢はない（会計法第２９条の３第４項）。</v>
      </c>
      <c r="AQ172" s="204" t="str">
        <f>VLOOKUP(AK172,'[3]17見直し計画'!$A$50:$AJ$584,13,0)</f>
        <v>見直しの余地があるもの</v>
      </c>
      <c r="AR172" s="204" t="str">
        <f>VLOOKUP(AK172,'[3]17見直し計画'!$A$50:$AJ$584,14,0)</f>
        <v>一般競争入札等に移行するための準備に時間を要するもの（１９年度以降において企画招請実施）</v>
      </c>
      <c r="AS172" s="204"/>
      <c r="AT172" s="204">
        <f>VLOOKUP(AK172,'[3]17見直し計画'!$A$50:$AJ$584,35,0)</f>
        <v>0</v>
      </c>
      <c r="AU172" s="204">
        <f>VLOOKUP(AK172,'[3]17見直し計画'!$A$50:$AJ$584,36,0)</f>
        <v>0</v>
      </c>
    </row>
    <row r="173" spans="1:53" ht="105" hidden="1" customHeight="1">
      <c r="A173" t="s">
        <v>148</v>
      </c>
      <c r="B173" s="143" t="s">
        <v>390</v>
      </c>
      <c r="C173" s="143" t="s">
        <v>391</v>
      </c>
      <c r="D173" s="143" t="s">
        <v>665</v>
      </c>
      <c r="E173">
        <f t="shared" si="25"/>
        <v>87</v>
      </c>
      <c r="F173" s="122">
        <v>87</v>
      </c>
      <c r="G173" s="123">
        <v>87</v>
      </c>
      <c r="H173" s="124">
        <v>2200289</v>
      </c>
      <c r="I173" s="125"/>
      <c r="J173" s="124" t="s">
        <v>666</v>
      </c>
      <c r="K173" s="124" t="s">
        <v>286</v>
      </c>
      <c r="L173" s="126"/>
      <c r="M173" s="126"/>
      <c r="N173" s="127" t="s">
        <v>138</v>
      </c>
      <c r="O173" s="128" t="s">
        <v>139</v>
      </c>
      <c r="P173" s="126" t="s">
        <v>122</v>
      </c>
      <c r="Q173" s="129" t="s">
        <v>667</v>
      </c>
      <c r="R173" s="130" t="s">
        <v>668</v>
      </c>
      <c r="S173" s="131" t="s">
        <v>125</v>
      </c>
      <c r="T173" s="132">
        <v>40269</v>
      </c>
      <c r="U173" s="133" t="s">
        <v>622</v>
      </c>
      <c r="V173" s="134" t="s">
        <v>623</v>
      </c>
      <c r="W173" s="118" t="s">
        <v>299</v>
      </c>
      <c r="X173" s="135">
        <v>5156025</v>
      </c>
      <c r="Y173" s="135">
        <v>5156025</v>
      </c>
      <c r="Z173" s="136">
        <v>1</v>
      </c>
      <c r="AA173" s="127"/>
      <c r="AB173" s="127"/>
      <c r="AC173" s="127" t="s">
        <v>129</v>
      </c>
      <c r="AD173" s="137" t="s">
        <v>146</v>
      </c>
      <c r="AE173" s="138"/>
      <c r="AF173" s="125"/>
      <c r="AG173" s="117" t="s">
        <v>131</v>
      </c>
      <c r="AH173" s="139" t="s">
        <v>132</v>
      </c>
      <c r="AJ173" s="120"/>
      <c r="AK173" s="120" t="s">
        <v>669</v>
      </c>
      <c r="AL173" s="140" t="str">
        <f>VLOOKUP(AK173,'[3]17見直し計画'!$A$50:$AJ$584,6,0)</f>
        <v>株式会社リコー</v>
      </c>
      <c r="AM173" s="140" t="str">
        <f>VLOOKUP(AK173,'[3]17見直し計画'!$A$50:$AJ$584,8,0)</f>
        <v>「物品管理システム」保守契約</v>
      </c>
      <c r="AN173" s="180">
        <f>VLOOKUP(AK173,'[3]17見直し計画'!$A$50:$AJ$584,10,0)</f>
        <v>38443</v>
      </c>
      <c r="AO173" s="141">
        <f>VLOOKUP(AK173,'[3]17見直し計画'!$A$50:$AJ$584,11,0)</f>
        <v>3677100</v>
      </c>
      <c r="AP173" s="140" t="str">
        <f>VLOOKUP(AK173,'[3]17見直し計画'!$A$50:$AJ$584,12,0)</f>
        <v>本システムの開発を行った会社が同システムの保守を行うものであり、競争を許さない（会計法第２９条の３第４項）。</v>
      </c>
      <c r="AQ173" s="140" t="str">
        <f>VLOOKUP(AK173,'[3]17見直し計画'!$A$50:$AJ$584,13,0)</f>
        <v>見直しの余地があるもの</v>
      </c>
      <c r="AR173" s="140" t="str">
        <f>VLOOKUP(AK173,'[3]17見直し計画'!$A$50:$AJ$584,14,0)</f>
        <v>平成２０年度に予定している新システム導入以降は当該事務・事業の委託を行わない。</v>
      </c>
      <c r="AS173" s="140"/>
      <c r="AT173" s="140" t="str">
        <f>VLOOKUP(AK173,'[3]17見直し計画'!$A$50:$AJ$584,35,0)</f>
        <v>平成21年度に府省共通システムが導入される予定であり、データを新システムに移行した時点で本システムは廃止となる。</v>
      </c>
      <c r="AU173" s="140" t="str">
        <f>VLOOKUP(AK173,'[3]17見直し計画'!$A$50:$AJ$584,36,0)</f>
        <v>平成21年度</v>
      </c>
      <c r="AV173" s="766" t="s">
        <v>416</v>
      </c>
      <c r="AW173" s="767"/>
      <c r="AX173" s="767"/>
      <c r="AY173" s="767"/>
      <c r="AZ173" s="767"/>
      <c r="BA173" s="767"/>
    </row>
    <row r="174" spans="1:53" ht="105" hidden="1" customHeight="1">
      <c r="B174" s="126" t="s">
        <v>134</v>
      </c>
      <c r="C174" s="143" t="s">
        <v>135</v>
      </c>
      <c r="D174" s="143" t="s">
        <v>136</v>
      </c>
      <c r="E174">
        <f t="shared" si="25"/>
        <v>88</v>
      </c>
      <c r="F174" s="122">
        <v>88</v>
      </c>
      <c r="G174" s="123">
        <v>88</v>
      </c>
      <c r="H174" s="124">
        <v>2200142</v>
      </c>
      <c r="I174" s="125"/>
      <c r="J174" s="124" t="s">
        <v>670</v>
      </c>
      <c r="K174" s="124" t="s">
        <v>195</v>
      </c>
      <c r="L174" s="126"/>
      <c r="M174" s="126"/>
      <c r="N174" s="127" t="s">
        <v>138</v>
      </c>
      <c r="O174" s="128" t="s">
        <v>139</v>
      </c>
      <c r="P174" s="126" t="s">
        <v>122</v>
      </c>
      <c r="Q174" s="129" t="s">
        <v>671</v>
      </c>
      <c r="R174" s="130" t="s">
        <v>576</v>
      </c>
      <c r="S174" s="131" t="s">
        <v>125</v>
      </c>
      <c r="T174" s="132">
        <v>40269</v>
      </c>
      <c r="U174" s="133" t="s">
        <v>577</v>
      </c>
      <c r="V174" s="134" t="s">
        <v>578</v>
      </c>
      <c r="W174" s="118" t="s">
        <v>579</v>
      </c>
      <c r="X174" s="135">
        <v>5139750</v>
      </c>
      <c r="Y174" s="135">
        <v>5139750</v>
      </c>
      <c r="Z174" s="136">
        <v>1</v>
      </c>
      <c r="AA174" s="127"/>
      <c r="AB174" s="127"/>
      <c r="AC174" s="127" t="s">
        <v>129</v>
      </c>
      <c r="AD174" s="137" t="s">
        <v>146</v>
      </c>
      <c r="AE174" s="138"/>
      <c r="AF174" s="125"/>
      <c r="AG174" s="117" t="s">
        <v>131</v>
      </c>
      <c r="AH174" s="139" t="s">
        <v>132</v>
      </c>
      <c r="AJ174" s="179" t="s">
        <v>580</v>
      </c>
      <c r="AK174" s="120" t="s">
        <v>147</v>
      </c>
      <c r="AL174" s="140" t="str">
        <f>VLOOKUP(AK174,'[3]17見直し計画'!$A$50:$AJ$584,6,0)</f>
        <v>　見直し計画策定以降の新規案件</v>
      </c>
      <c r="AM174" s="140">
        <f>VLOOKUP(AK174,'[3]17見直し計画'!$A$50:$AJ$584,8,0)</f>
        <v>0</v>
      </c>
      <c r="AN174" s="180"/>
      <c r="AO174" s="141">
        <f>VLOOKUP(AK174,'[3]17見直し計画'!$A$50:$AJ$584,11,0)</f>
        <v>0</v>
      </c>
      <c r="AP174" s="140">
        <f>VLOOKUP(AK174,'[3]17見直し計画'!$A$50:$AJ$584,12,0)</f>
        <v>0</v>
      </c>
      <c r="AQ174" s="140">
        <f>VLOOKUP(AK174,'[3]17見直し計画'!$A$50:$AJ$584,13,0)</f>
        <v>0</v>
      </c>
      <c r="AR174" s="140">
        <f>VLOOKUP(AK174,'[3]17見直し計画'!$A$50:$AJ$584,14,0)</f>
        <v>0</v>
      </c>
      <c r="AS174" s="140"/>
      <c r="AT174" s="140">
        <f>VLOOKUP(AK174,'[3]17見直し計画'!$A$50:$AJ$584,35,0)</f>
        <v>0</v>
      </c>
      <c r="AU174" s="140">
        <f>VLOOKUP(AK174,'[3]17見直し計画'!$A$50:$AJ$584,36,0)</f>
        <v>0</v>
      </c>
    </row>
    <row r="175" spans="1:53" ht="105" customHeight="1">
      <c r="B175" s="143" t="s">
        <v>549</v>
      </c>
      <c r="C175" s="143" t="s">
        <v>550</v>
      </c>
      <c r="D175" s="143" t="s">
        <v>477</v>
      </c>
      <c r="E175">
        <f t="shared" si="25"/>
        <v>89</v>
      </c>
      <c r="F175" s="122">
        <v>89</v>
      </c>
      <c r="G175" s="123">
        <v>89</v>
      </c>
      <c r="H175" s="124">
        <v>2200275</v>
      </c>
      <c r="I175" s="125"/>
      <c r="J175" s="124" t="s">
        <v>672</v>
      </c>
      <c r="K175" s="124" t="s">
        <v>433</v>
      </c>
      <c r="L175" s="126"/>
      <c r="M175" s="126"/>
      <c r="N175" s="127" t="s">
        <v>138</v>
      </c>
      <c r="O175" s="128" t="s">
        <v>139</v>
      </c>
      <c r="P175" s="126" t="s">
        <v>122</v>
      </c>
      <c r="Q175" s="129" t="s">
        <v>673</v>
      </c>
      <c r="R175" s="130" t="s">
        <v>674</v>
      </c>
      <c r="S175" s="131" t="s">
        <v>125</v>
      </c>
      <c r="T175" s="132">
        <v>40269</v>
      </c>
      <c r="U175" s="133" t="s">
        <v>675</v>
      </c>
      <c r="V175" s="134" t="s">
        <v>676</v>
      </c>
      <c r="W175" s="118" t="s">
        <v>617</v>
      </c>
      <c r="X175" s="135">
        <v>4813200</v>
      </c>
      <c r="Y175" s="135">
        <v>4813200</v>
      </c>
      <c r="Z175" s="136">
        <v>1</v>
      </c>
      <c r="AA175" s="127"/>
      <c r="AB175" s="127"/>
      <c r="AC175" s="127" t="s">
        <v>129</v>
      </c>
      <c r="AD175" s="137" t="s">
        <v>146</v>
      </c>
      <c r="AE175" s="138"/>
      <c r="AF175" s="125"/>
      <c r="AG175" s="117" t="s">
        <v>131</v>
      </c>
      <c r="AH175" s="139" t="s">
        <v>132</v>
      </c>
      <c r="AJ175" s="120"/>
      <c r="AK175" s="120" t="s">
        <v>677</v>
      </c>
      <c r="AL175" s="140" t="str">
        <f>VLOOKUP(AK175,'[3]17見直し計画'!$A$50:$AJ$584,6,0)</f>
        <v>株式会社時事通信社</v>
      </c>
      <c r="AM175" s="140" t="str">
        <f>VLOOKUP(AK175,'[3]17見直し計画'!$A$50:$AJ$584,8,0)</f>
        <v>「時事重要ニュース・情報音声サービス」契約</v>
      </c>
      <c r="AN175" s="180">
        <f>VLOOKUP(AK175,'[3]17見直し計画'!$A$50:$AJ$584,10,0)</f>
        <v>38443</v>
      </c>
      <c r="AO175" s="141">
        <f>VLOOKUP(AK175,'[3]17見直し計画'!$A$50:$AJ$584,11,0)</f>
        <v>1260000</v>
      </c>
      <c r="AP175" s="140" t="str">
        <f>VLOOKUP(AK175,'[3]17見直し計画'!$A$50:$AJ$584,12,0)</f>
        <v>契約相手先が作成しているニュースの受信契約であり、他に競争を許さない（会計法第２９条の３第４項）。</v>
      </c>
      <c r="AQ175" s="140" t="str">
        <f>VLOOKUP(AK175,'[3]17見直し計画'!$A$50:$AJ$584,13,0)</f>
        <v>その他のもの</v>
      </c>
      <c r="AR175" s="140" t="str">
        <f>VLOOKUP(AK175,'[3]17見直し計画'!$A$50:$AJ$584,14,0)</f>
        <v>随意契約によらざるを得ないもの</v>
      </c>
      <c r="AS175" s="140"/>
      <c r="AT175" s="140" t="str">
        <f>VLOOKUP(AK175,'[3]17見直し計画'!$A$50:$AJ$584,35,0)</f>
        <v>行政目的を達成するために不可欠な情報の提供</v>
      </c>
      <c r="AU175" s="140" t="str">
        <f>VLOOKUP(AK175,'[3]17見直し計画'!$A$50:$AJ$584,36,0)</f>
        <v>ニ（ヘ）</v>
      </c>
    </row>
    <row r="176" spans="1:53" ht="105" hidden="1" customHeight="1">
      <c r="B176" s="126" t="s">
        <v>678</v>
      </c>
      <c r="C176" s="143" t="s">
        <v>135</v>
      </c>
      <c r="D176" s="143" t="s">
        <v>136</v>
      </c>
      <c r="E176">
        <f>SUM(E175+1)</f>
        <v>90</v>
      </c>
      <c r="F176" s="122">
        <v>90</v>
      </c>
      <c r="G176" s="123">
        <v>90</v>
      </c>
      <c r="H176" s="124">
        <v>2200144</v>
      </c>
      <c r="I176" s="125"/>
      <c r="J176" s="124" t="s">
        <v>679</v>
      </c>
      <c r="K176" s="124" t="s">
        <v>680</v>
      </c>
      <c r="L176" s="126"/>
      <c r="M176" s="126"/>
      <c r="N176" s="127" t="s">
        <v>138</v>
      </c>
      <c r="O176" s="128" t="s">
        <v>139</v>
      </c>
      <c r="P176" s="126" t="s">
        <v>122</v>
      </c>
      <c r="Q176" s="129" t="s">
        <v>681</v>
      </c>
      <c r="R176" s="130" t="s">
        <v>682</v>
      </c>
      <c r="S176" s="131" t="s">
        <v>125</v>
      </c>
      <c r="T176" s="132">
        <v>40269</v>
      </c>
      <c r="U176" s="133" t="s">
        <v>222</v>
      </c>
      <c r="V176" s="134" t="s">
        <v>223</v>
      </c>
      <c r="W176" s="118" t="s">
        <v>683</v>
      </c>
      <c r="X176" s="135">
        <v>4428396</v>
      </c>
      <c r="Y176" s="135">
        <v>4428396</v>
      </c>
      <c r="Z176" s="136">
        <v>1</v>
      </c>
      <c r="AA176" s="127"/>
      <c r="AB176" s="127"/>
      <c r="AC176" s="127" t="s">
        <v>129</v>
      </c>
      <c r="AD176" s="137" t="s">
        <v>146</v>
      </c>
      <c r="AE176" s="138"/>
      <c r="AF176" s="125"/>
      <c r="AG176" s="117" t="s">
        <v>131</v>
      </c>
      <c r="AH176" s="139" t="s">
        <v>132</v>
      </c>
      <c r="AJ176" s="179" t="s">
        <v>684</v>
      </c>
      <c r="AK176" s="120" t="s">
        <v>147</v>
      </c>
      <c r="AL176" s="140" t="str">
        <f>VLOOKUP(AK176,'[3]17見直し計画'!$A$50:$AJ$584,6,0)</f>
        <v>　見直し計画策定以降の新規案件</v>
      </c>
      <c r="AM176" s="140">
        <f>VLOOKUP(AK176,'[3]17見直し計画'!$A$50:$AJ$584,8,0)</f>
        <v>0</v>
      </c>
      <c r="AN176" s="180"/>
      <c r="AO176" s="141">
        <f>VLOOKUP(AK176,'[3]17見直し計画'!$A$50:$AJ$584,11,0)</f>
        <v>0</v>
      </c>
      <c r="AP176" s="140">
        <f>VLOOKUP(AK176,'[3]17見直し計画'!$A$50:$AJ$584,12,0)</f>
        <v>0</v>
      </c>
      <c r="AQ176" s="140">
        <f>VLOOKUP(AK176,'[3]17見直し計画'!$A$50:$AJ$584,13,0)</f>
        <v>0</v>
      </c>
      <c r="AR176" s="140">
        <f>VLOOKUP(AK176,'[3]17見直し計画'!$A$50:$AJ$584,14,0)</f>
        <v>0</v>
      </c>
      <c r="AS176" s="140"/>
      <c r="AT176" s="140">
        <f>VLOOKUP(AK176,'[3]17見直し計画'!$A$50:$AJ$584,35,0)</f>
        <v>0</v>
      </c>
      <c r="AU176" s="140">
        <f>VLOOKUP(AK176,'[3]17見直し計画'!$A$50:$AJ$584,36,0)</f>
        <v>0</v>
      </c>
    </row>
    <row r="177" spans="2:47" ht="105" customHeight="1">
      <c r="B177" s="143" t="s">
        <v>685</v>
      </c>
      <c r="C177" s="143" t="s">
        <v>550</v>
      </c>
      <c r="D177" s="143" t="s">
        <v>351</v>
      </c>
      <c r="E177">
        <f t="shared" si="25"/>
        <v>91</v>
      </c>
      <c r="F177" s="122">
        <v>91</v>
      </c>
      <c r="G177" s="123">
        <v>91</v>
      </c>
      <c r="H177" s="124">
        <v>2200276</v>
      </c>
      <c r="I177" s="125"/>
      <c r="J177" s="124" t="s">
        <v>686</v>
      </c>
      <c r="K177" s="124" t="s">
        <v>433</v>
      </c>
      <c r="L177" s="126"/>
      <c r="M177" s="126"/>
      <c r="N177" s="127" t="s">
        <v>687</v>
      </c>
      <c r="O177" s="128" t="s">
        <v>688</v>
      </c>
      <c r="P177" s="126" t="s">
        <v>122</v>
      </c>
      <c r="Q177" s="129" t="s">
        <v>689</v>
      </c>
      <c r="R177" s="130" t="s">
        <v>690</v>
      </c>
      <c r="S177" s="131" t="s">
        <v>125</v>
      </c>
      <c r="T177" s="132">
        <v>40269</v>
      </c>
      <c r="U177" s="133" t="s">
        <v>691</v>
      </c>
      <c r="V177" s="134" t="s">
        <v>692</v>
      </c>
      <c r="W177" s="118" t="s">
        <v>617</v>
      </c>
      <c r="X177" s="135">
        <v>4284000</v>
      </c>
      <c r="Y177" s="135">
        <v>4284000</v>
      </c>
      <c r="Z177" s="136">
        <v>1</v>
      </c>
      <c r="AA177" s="127"/>
      <c r="AB177" s="127"/>
      <c r="AC177" s="127" t="s">
        <v>129</v>
      </c>
      <c r="AD177" s="137" t="s">
        <v>693</v>
      </c>
      <c r="AE177" s="138"/>
      <c r="AF177" s="125"/>
      <c r="AG177" s="117" t="s">
        <v>131</v>
      </c>
      <c r="AH177" s="139" t="s">
        <v>132</v>
      </c>
      <c r="AJ177" s="120"/>
      <c r="AK177" s="120" t="s">
        <v>694</v>
      </c>
      <c r="AL177" s="140" t="str">
        <f>VLOOKUP(AK177,'[3]17見直し計画'!$A$50:$AJ$584,6,0)</f>
        <v>社団法人共同通信社</v>
      </c>
      <c r="AM177" s="140" t="str">
        <f>VLOOKUP(AK177,'[3]17見直し計画'!$A$50:$AJ$584,8,0)</f>
        <v>「ＵＰＩ通信テレタイプニュース」受信</v>
      </c>
      <c r="AN177" s="180">
        <f>VLOOKUP(AK177,'[3]17見直し計画'!$A$50:$AJ$584,10,0)</f>
        <v>38443</v>
      </c>
      <c r="AO177" s="141">
        <f>VLOOKUP(AK177,'[3]17見直し計画'!$A$50:$AJ$584,11,0)</f>
        <v>4660740</v>
      </c>
      <c r="AP177" s="140" t="str">
        <f>VLOOKUP(AK177,'[3]17見直し計画'!$A$50:$AJ$584,12,0)</f>
        <v>契約相手先が作成しているニュースの受信契約であり、他に競争を許さない（会計法第２９条の３第４項）。</v>
      </c>
      <c r="AQ177" s="140" t="str">
        <f>VLOOKUP(AK177,'[3]17見直し計画'!$A$50:$AJ$584,13,0)</f>
        <v>その他のもの</v>
      </c>
      <c r="AR177" s="140" t="str">
        <f>VLOOKUP(AK177,'[3]17見直し計画'!$A$50:$AJ$584,14,0)</f>
        <v>随意契約によらざるを得ないもの</v>
      </c>
      <c r="AS177" s="140"/>
      <c r="AT177" s="140" t="str">
        <f>VLOOKUP(AK177,'[3]17見直し計画'!$A$50:$AJ$584,35,0)</f>
        <v>行政目的を達成するために不可欠な情報の提供</v>
      </c>
      <c r="AU177" s="140" t="str">
        <f>VLOOKUP(AK177,'[3]17見直し計画'!$A$50:$AJ$584,36,0)</f>
        <v>ニ（ヘ）</v>
      </c>
    </row>
    <row r="178" spans="2:47" ht="105" hidden="1" customHeight="1">
      <c r="B178" s="126" t="s">
        <v>218</v>
      </c>
      <c r="C178" s="143" t="s">
        <v>135</v>
      </c>
      <c r="D178" s="143" t="s">
        <v>136</v>
      </c>
      <c r="E178">
        <f>SUM(E177+1)</f>
        <v>92</v>
      </c>
      <c r="F178" s="122">
        <v>92</v>
      </c>
      <c r="G178" s="123">
        <v>92</v>
      </c>
      <c r="H178" s="124">
        <v>2200149</v>
      </c>
      <c r="I178" s="125"/>
      <c r="J178" s="124" t="s">
        <v>695</v>
      </c>
      <c r="K178" s="124" t="s">
        <v>353</v>
      </c>
      <c r="L178" s="126"/>
      <c r="M178" s="126"/>
      <c r="N178" s="127" t="s">
        <v>138</v>
      </c>
      <c r="O178" s="128" t="s">
        <v>139</v>
      </c>
      <c r="P178" s="126" t="s">
        <v>122</v>
      </c>
      <c r="Q178" s="129" t="s">
        <v>696</v>
      </c>
      <c r="R178" s="130" t="s">
        <v>697</v>
      </c>
      <c r="S178" s="131" t="s">
        <v>125</v>
      </c>
      <c r="T178" s="132">
        <v>40269</v>
      </c>
      <c r="U178" s="133" t="s">
        <v>698</v>
      </c>
      <c r="V178" s="134" t="s">
        <v>699</v>
      </c>
      <c r="W178" s="118" t="s">
        <v>579</v>
      </c>
      <c r="X178" s="135">
        <v>4155228</v>
      </c>
      <c r="Y178" s="135">
        <v>4155228</v>
      </c>
      <c r="Z178" s="136">
        <v>1</v>
      </c>
      <c r="AA178" s="127"/>
      <c r="AB178" s="127"/>
      <c r="AC178" s="127" t="s">
        <v>129</v>
      </c>
      <c r="AD178" s="137" t="s">
        <v>146</v>
      </c>
      <c r="AE178" s="138"/>
      <c r="AF178" s="125"/>
      <c r="AG178" s="117" t="s">
        <v>131</v>
      </c>
      <c r="AH178" s="139" t="s">
        <v>132</v>
      </c>
      <c r="AJ178" s="120"/>
      <c r="AK178" s="120" t="s">
        <v>147</v>
      </c>
      <c r="AL178" s="140" t="str">
        <f>VLOOKUP(AK178,'[3]17見直し計画'!$A$50:$AJ$584,6,0)</f>
        <v>　見直し計画策定以降の新規案件</v>
      </c>
      <c r="AM178" s="140">
        <f>VLOOKUP(AK178,'[3]17見直し計画'!$A$50:$AJ$584,8,0)</f>
        <v>0</v>
      </c>
      <c r="AN178" s="180"/>
      <c r="AO178" s="141">
        <f>VLOOKUP(AK178,'[3]17見直し計画'!$A$50:$AJ$584,11,0)</f>
        <v>0</v>
      </c>
      <c r="AP178" s="140">
        <f>VLOOKUP(AK178,'[3]17見直し計画'!$A$50:$AJ$584,12,0)</f>
        <v>0</v>
      </c>
      <c r="AQ178" s="140">
        <f>VLOOKUP(AK178,'[3]17見直し計画'!$A$50:$AJ$584,13,0)</f>
        <v>0</v>
      </c>
      <c r="AR178" s="140">
        <f>VLOOKUP(AK178,'[3]17見直し計画'!$A$50:$AJ$584,14,0)</f>
        <v>0</v>
      </c>
      <c r="AS178" s="140"/>
      <c r="AT178" s="140">
        <f>VLOOKUP(AK178,'[3]17見直し計画'!$A$50:$AJ$584,35,0)</f>
        <v>0</v>
      </c>
      <c r="AU178" s="140">
        <f>VLOOKUP(AK178,'[3]17見直し計画'!$A$50:$AJ$584,36,0)</f>
        <v>0</v>
      </c>
    </row>
    <row r="179" spans="2:47" ht="105" hidden="1" customHeight="1">
      <c r="B179" s="126" t="s">
        <v>193</v>
      </c>
      <c r="C179" s="143" t="s">
        <v>135</v>
      </c>
      <c r="D179" s="143" t="s">
        <v>136</v>
      </c>
      <c r="E179">
        <f t="shared" si="25"/>
        <v>93</v>
      </c>
      <c r="F179" s="122">
        <v>93</v>
      </c>
      <c r="G179" s="123">
        <v>93</v>
      </c>
      <c r="H179" s="124">
        <v>2200155</v>
      </c>
      <c r="I179" s="125"/>
      <c r="J179" s="124" t="s">
        <v>700</v>
      </c>
      <c r="K179" s="124" t="s">
        <v>195</v>
      </c>
      <c r="L179" s="126"/>
      <c r="M179" s="126"/>
      <c r="N179" s="127" t="s">
        <v>138</v>
      </c>
      <c r="O179" s="128" t="s">
        <v>139</v>
      </c>
      <c r="P179" s="126" t="s">
        <v>122</v>
      </c>
      <c r="Q179" s="129" t="s">
        <v>701</v>
      </c>
      <c r="R179" s="130" t="s">
        <v>702</v>
      </c>
      <c r="S179" s="131" t="s">
        <v>125</v>
      </c>
      <c r="T179" s="132">
        <v>40269</v>
      </c>
      <c r="U179" s="133" t="s">
        <v>703</v>
      </c>
      <c r="V179" s="134" t="s">
        <v>704</v>
      </c>
      <c r="W179" s="118" t="s">
        <v>191</v>
      </c>
      <c r="X179" s="135">
        <v>4154241</v>
      </c>
      <c r="Y179" s="135">
        <v>4154241</v>
      </c>
      <c r="Z179" s="136">
        <v>1</v>
      </c>
      <c r="AA179" s="127"/>
      <c r="AB179" s="127"/>
      <c r="AC179" s="127" t="s">
        <v>129</v>
      </c>
      <c r="AD179" s="137" t="s">
        <v>146</v>
      </c>
      <c r="AE179" s="138"/>
      <c r="AF179" s="125"/>
      <c r="AG179" s="117" t="s">
        <v>131</v>
      </c>
      <c r="AH179" s="139" t="s">
        <v>132</v>
      </c>
      <c r="AJ179" s="120"/>
      <c r="AK179" s="120" t="s">
        <v>147</v>
      </c>
      <c r="AL179" s="140" t="str">
        <f>VLOOKUP(AK179,'[3]17見直し計画'!$A$50:$AJ$584,6,0)</f>
        <v>　見直し計画策定以降の新規案件</v>
      </c>
      <c r="AM179" s="140">
        <f>VLOOKUP(AK179,'[3]17見直し計画'!$A$50:$AJ$584,8,0)</f>
        <v>0</v>
      </c>
      <c r="AN179" s="180"/>
      <c r="AO179" s="141">
        <f>VLOOKUP(AK179,'[3]17見直し計画'!$A$50:$AJ$584,11,0)</f>
        <v>0</v>
      </c>
      <c r="AP179" s="140">
        <f>VLOOKUP(AK179,'[3]17見直し計画'!$A$50:$AJ$584,12,0)</f>
        <v>0</v>
      </c>
      <c r="AQ179" s="140">
        <f>VLOOKUP(AK179,'[3]17見直し計画'!$A$50:$AJ$584,13,0)</f>
        <v>0</v>
      </c>
      <c r="AR179" s="140">
        <f>VLOOKUP(AK179,'[3]17見直し計画'!$A$50:$AJ$584,14,0)</f>
        <v>0</v>
      </c>
      <c r="AS179" s="140"/>
      <c r="AT179" s="140">
        <f>VLOOKUP(AK179,'[3]17見直し計画'!$A$50:$AJ$584,35,0)</f>
        <v>0</v>
      </c>
      <c r="AU179" s="140">
        <f>VLOOKUP(AK179,'[3]17見直し計画'!$A$50:$AJ$584,36,0)</f>
        <v>0</v>
      </c>
    </row>
    <row r="180" spans="2:47" ht="105" customHeight="1">
      <c r="B180" s="143" t="s">
        <v>549</v>
      </c>
      <c r="C180" s="143" t="s">
        <v>550</v>
      </c>
      <c r="D180" s="143" t="s">
        <v>351</v>
      </c>
      <c r="E180">
        <f t="shared" si="25"/>
        <v>94</v>
      </c>
      <c r="F180" s="122">
        <v>94</v>
      </c>
      <c r="G180" s="123">
        <v>94</v>
      </c>
      <c r="H180" s="124">
        <v>2200312</v>
      </c>
      <c r="I180" s="125"/>
      <c r="J180" s="124" t="s">
        <v>705</v>
      </c>
      <c r="K180" s="124" t="s">
        <v>706</v>
      </c>
      <c r="L180" s="126"/>
      <c r="M180" s="126"/>
      <c r="N180" s="127" t="s">
        <v>138</v>
      </c>
      <c r="O180" s="128" t="s">
        <v>139</v>
      </c>
      <c r="P180" s="126" t="s">
        <v>122</v>
      </c>
      <c r="Q180" s="129" t="s">
        <v>707</v>
      </c>
      <c r="R180" s="130" t="s">
        <v>708</v>
      </c>
      <c r="S180" s="131" t="s">
        <v>125</v>
      </c>
      <c r="T180" s="132">
        <v>40269</v>
      </c>
      <c r="U180" s="133" t="s">
        <v>709</v>
      </c>
      <c r="V180" s="134" t="s">
        <v>710</v>
      </c>
      <c r="W180" s="118" t="s">
        <v>563</v>
      </c>
      <c r="X180" s="135">
        <v>4032000</v>
      </c>
      <c r="Y180" s="135">
        <v>4032000</v>
      </c>
      <c r="Z180" s="136">
        <v>1</v>
      </c>
      <c r="AA180" s="127"/>
      <c r="AB180" s="127"/>
      <c r="AC180" s="127" t="s">
        <v>129</v>
      </c>
      <c r="AD180" s="137" t="s">
        <v>146</v>
      </c>
      <c r="AE180" s="138"/>
      <c r="AF180" s="125"/>
      <c r="AG180" s="117" t="s">
        <v>131</v>
      </c>
      <c r="AH180" s="139" t="s">
        <v>132</v>
      </c>
      <c r="AJ180" s="120"/>
      <c r="AK180" s="120" t="s">
        <v>711</v>
      </c>
      <c r="AL180" s="140" t="str">
        <f>VLOOKUP(AK180,'[3]17見直し計画'!$A$50:$AJ$584,6,0)</f>
        <v>株式会社朝鮮通信社</v>
      </c>
      <c r="AM180" s="140" t="str">
        <f>VLOOKUP(AK180,'[3]17見直し計画'!$A$50:$AJ$584,8,0)</f>
        <v>「北朝鮮中央通信」配信契約</v>
      </c>
      <c r="AN180" s="180">
        <f>VLOOKUP(AK180,'[3]17見直し計画'!$A$50:$AJ$584,10,0)</f>
        <v>38443</v>
      </c>
      <c r="AO180" s="141">
        <f>VLOOKUP(AK180,'[3]17見直し計画'!$A$50:$AJ$584,11,0)</f>
        <v>2141118</v>
      </c>
      <c r="AP180" s="140" t="str">
        <f>VLOOKUP(AK180,'[3]17見直し計画'!$A$50:$AJ$584,12,0)</f>
        <v>本件情報サービスを運営、提供している会社との契約であり、他に競争を許さない（会計法第２９条の３第４項）。</v>
      </c>
      <c r="AQ180" s="140" t="str">
        <f>VLOOKUP(AK180,'[3]17見直し計画'!$A$50:$AJ$584,13,0)</f>
        <v>その他のもの</v>
      </c>
      <c r="AR180" s="140" t="str">
        <f>VLOOKUP(AK180,'[3]17見直し計画'!$A$50:$AJ$584,14,0)</f>
        <v>随意契約によらざるを得ないもの</v>
      </c>
      <c r="AS180" s="140"/>
      <c r="AT180" s="140" t="str">
        <f>VLOOKUP(AK180,'[3]17見直し計画'!$A$50:$AJ$584,35,0)</f>
        <v>行政目的を達成するために不可欠な情報の提供</v>
      </c>
      <c r="AU180" s="140" t="str">
        <f>VLOOKUP(AK180,'[3]17見直し計画'!$A$50:$AJ$584,36,0)</f>
        <v>ニ（ヘ）</v>
      </c>
    </row>
    <row r="181" spans="2:47" ht="105" hidden="1" customHeight="1">
      <c r="B181" s="126" t="s">
        <v>134</v>
      </c>
      <c r="C181" s="143" t="s">
        <v>712</v>
      </c>
      <c r="D181" s="143" t="s">
        <v>713</v>
      </c>
      <c r="E181">
        <f>SUM(E180+1)</f>
        <v>95</v>
      </c>
      <c r="F181" s="122">
        <v>95</v>
      </c>
      <c r="G181" s="123">
        <v>95</v>
      </c>
      <c r="H181" s="124">
        <v>2200131</v>
      </c>
      <c r="I181" s="125"/>
      <c r="J181" s="124" t="s">
        <v>714</v>
      </c>
      <c r="K181" s="124" t="s">
        <v>345</v>
      </c>
      <c r="L181" s="126"/>
      <c r="M181" s="126"/>
      <c r="N181" s="127" t="s">
        <v>715</v>
      </c>
      <c r="O181" s="128" t="s">
        <v>139</v>
      </c>
      <c r="P181" s="126" t="s">
        <v>122</v>
      </c>
      <c r="Q181" s="129" t="s">
        <v>716</v>
      </c>
      <c r="R181" s="130" t="s">
        <v>717</v>
      </c>
      <c r="S181" s="131" t="s">
        <v>125</v>
      </c>
      <c r="T181" s="132">
        <v>40269</v>
      </c>
      <c r="U181" s="133" t="s">
        <v>303</v>
      </c>
      <c r="V181" s="134" t="s">
        <v>304</v>
      </c>
      <c r="W181" s="118" t="s">
        <v>217</v>
      </c>
      <c r="X181" s="135">
        <v>3793860</v>
      </c>
      <c r="Y181" s="135">
        <v>3793860</v>
      </c>
      <c r="Z181" s="136">
        <v>1</v>
      </c>
      <c r="AA181" s="127"/>
      <c r="AB181" s="127"/>
      <c r="AC181" s="127" t="s">
        <v>129</v>
      </c>
      <c r="AD181" s="137" t="s">
        <v>146</v>
      </c>
      <c r="AE181" s="138"/>
      <c r="AF181" s="125"/>
      <c r="AG181" s="117" t="s">
        <v>131</v>
      </c>
      <c r="AH181" s="139" t="s">
        <v>132</v>
      </c>
      <c r="AI181" s="177"/>
      <c r="AJ181" s="179" t="s">
        <v>718</v>
      </c>
      <c r="AK181" s="120" t="s">
        <v>147</v>
      </c>
      <c r="AL181" s="140" t="str">
        <f>VLOOKUP(AK181,'[3]17見直し計画'!$A$50:$AJ$584,6,0)</f>
        <v>　見直し計画策定以降の新規案件</v>
      </c>
      <c r="AM181" s="140">
        <f>VLOOKUP(AK181,'[3]17見直し計画'!$A$50:$AJ$584,8,0)</f>
        <v>0</v>
      </c>
      <c r="AN181" s="180"/>
      <c r="AO181" s="141">
        <f>VLOOKUP(AK181,'[3]17見直し計画'!$A$50:$AJ$584,11,0)</f>
        <v>0</v>
      </c>
      <c r="AP181" s="140">
        <f>VLOOKUP(AK181,'[3]17見直し計画'!$A$50:$AJ$584,12,0)</f>
        <v>0</v>
      </c>
      <c r="AQ181" s="140">
        <f>VLOOKUP(AK181,'[3]17見直し計画'!$A$50:$AJ$584,13,0)</f>
        <v>0</v>
      </c>
      <c r="AR181" s="140">
        <f>VLOOKUP(AK181,'[3]17見直し計画'!$A$50:$AJ$584,14,0)</f>
        <v>0</v>
      </c>
      <c r="AS181" s="140"/>
      <c r="AT181" s="140">
        <f>VLOOKUP(AK181,'[3]17見直し計画'!$A$50:$AJ$584,35,0)</f>
        <v>0</v>
      </c>
      <c r="AU181" s="140">
        <f>VLOOKUP(AK181,'[3]17見直し計画'!$A$50:$AJ$584,36,0)</f>
        <v>0</v>
      </c>
    </row>
    <row r="182" spans="2:47" ht="105" hidden="1" customHeight="1">
      <c r="B182" s="126" t="s">
        <v>719</v>
      </c>
      <c r="C182" s="143" t="s">
        <v>712</v>
      </c>
      <c r="D182" s="143" t="s">
        <v>713</v>
      </c>
      <c r="E182">
        <f t="shared" si="25"/>
        <v>96</v>
      </c>
      <c r="F182" s="122">
        <v>96</v>
      </c>
      <c r="G182" s="123">
        <v>96</v>
      </c>
      <c r="H182" s="124">
        <v>2200299</v>
      </c>
      <c r="I182" s="125"/>
      <c r="J182" s="124" t="s">
        <v>720</v>
      </c>
      <c r="K182" s="124" t="s">
        <v>721</v>
      </c>
      <c r="L182" s="126"/>
      <c r="M182" s="126"/>
      <c r="N182" s="127" t="s">
        <v>715</v>
      </c>
      <c r="O182" s="128" t="s">
        <v>139</v>
      </c>
      <c r="P182" s="126" t="s">
        <v>122</v>
      </c>
      <c r="Q182" s="129" t="s">
        <v>722</v>
      </c>
      <c r="R182" s="130" t="s">
        <v>723</v>
      </c>
      <c r="S182" s="131" t="s">
        <v>125</v>
      </c>
      <c r="T182" s="132">
        <v>40269</v>
      </c>
      <c r="U182" s="133" t="s">
        <v>724</v>
      </c>
      <c r="V182" s="134" t="s">
        <v>725</v>
      </c>
      <c r="W182" s="118" t="s">
        <v>726</v>
      </c>
      <c r="X182" s="135">
        <v>3697762</v>
      </c>
      <c r="Y182" s="135">
        <v>3697050</v>
      </c>
      <c r="Z182" s="136">
        <v>0.999</v>
      </c>
      <c r="AA182" s="127"/>
      <c r="AB182" s="127"/>
      <c r="AC182" s="127" t="s">
        <v>129</v>
      </c>
      <c r="AD182" s="137" t="s">
        <v>146</v>
      </c>
      <c r="AE182" s="138"/>
      <c r="AF182" s="125"/>
      <c r="AG182" s="117" t="s">
        <v>131</v>
      </c>
      <c r="AH182" s="139" t="s">
        <v>132</v>
      </c>
      <c r="AJ182" s="120"/>
      <c r="AK182" s="120" t="s">
        <v>147</v>
      </c>
      <c r="AL182" s="140" t="str">
        <f>VLOOKUP(AK182,'[3]17見直し計画'!$A$50:$AJ$584,6,0)</f>
        <v>　見直し計画策定以降の新規案件</v>
      </c>
      <c r="AM182" s="140">
        <f>VLOOKUP(AK182,'[3]17見直し計画'!$A$50:$AJ$584,8,0)</f>
        <v>0</v>
      </c>
      <c r="AN182" s="180"/>
      <c r="AO182" s="141">
        <f>VLOOKUP(AK182,'[3]17見直し計画'!$A$50:$AJ$584,11,0)</f>
        <v>0</v>
      </c>
      <c r="AP182" s="140">
        <f>VLOOKUP(AK182,'[3]17見直し計画'!$A$50:$AJ$584,12,0)</f>
        <v>0</v>
      </c>
      <c r="AQ182" s="140">
        <f>VLOOKUP(AK182,'[3]17見直し計画'!$A$50:$AJ$584,13,0)</f>
        <v>0</v>
      </c>
      <c r="AR182" s="140">
        <f>VLOOKUP(AK182,'[3]17見直し計画'!$A$50:$AJ$584,14,0)</f>
        <v>0</v>
      </c>
      <c r="AS182" s="140"/>
      <c r="AT182" s="140">
        <f>VLOOKUP(AK182,'[3]17見直し計画'!$A$50:$AJ$584,35,0)</f>
        <v>0</v>
      </c>
      <c r="AU182" s="140">
        <f>VLOOKUP(AK182,'[3]17見直し計画'!$A$50:$AJ$584,36,0)</f>
        <v>0</v>
      </c>
    </row>
    <row r="183" spans="2:47" ht="105" hidden="1" customHeight="1">
      <c r="B183" s="189"/>
      <c r="C183" s="223"/>
      <c r="D183" s="223" t="s">
        <v>659</v>
      </c>
      <c r="E183" s="184">
        <f t="shared" si="25"/>
        <v>97</v>
      </c>
      <c r="F183" s="185">
        <v>97</v>
      </c>
      <c r="G183" s="186">
        <v>97</v>
      </c>
      <c r="H183" s="187">
        <v>2200202</v>
      </c>
      <c r="I183" s="188"/>
      <c r="J183" s="187" t="s">
        <v>727</v>
      </c>
      <c r="K183" s="187" t="s">
        <v>661</v>
      </c>
      <c r="L183" s="189"/>
      <c r="M183" s="189"/>
      <c r="N183" s="190" t="s">
        <v>728</v>
      </c>
      <c r="O183" s="191" t="s">
        <v>121</v>
      </c>
      <c r="P183" s="189" t="s">
        <v>231</v>
      </c>
      <c r="Q183" s="192" t="s">
        <v>729</v>
      </c>
      <c r="R183" s="193" t="s">
        <v>730</v>
      </c>
      <c r="S183" s="194" t="s">
        <v>125</v>
      </c>
      <c r="T183" s="195">
        <v>40269</v>
      </c>
      <c r="U183" s="196" t="s">
        <v>280</v>
      </c>
      <c r="V183" s="197" t="s">
        <v>281</v>
      </c>
      <c r="W183" s="181" t="s">
        <v>236</v>
      </c>
      <c r="X183" s="198">
        <v>3681000</v>
      </c>
      <c r="Y183" s="198">
        <v>3679200</v>
      </c>
      <c r="Z183" s="199">
        <v>0.999</v>
      </c>
      <c r="AA183" s="190">
        <v>1</v>
      </c>
      <c r="AB183" s="190"/>
      <c r="AC183" s="190">
        <v>1</v>
      </c>
      <c r="AD183" s="200" t="s">
        <v>283</v>
      </c>
      <c r="AE183" s="201"/>
      <c r="AF183" s="188"/>
      <c r="AG183" s="202" t="s">
        <v>131</v>
      </c>
      <c r="AH183" s="203" t="s">
        <v>171</v>
      </c>
      <c r="AI183" s="184"/>
      <c r="AJ183" s="182"/>
      <c r="AK183" s="182" t="s">
        <v>731</v>
      </c>
      <c r="AL183" s="204" t="str">
        <f>VLOOKUP(AK183,'[3]17見直し計画'!$A$50:$AJ$584,6,0)</f>
        <v>財団法人　　ラヂオプレス</v>
      </c>
      <c r="AM183" s="204" t="str">
        <f>VLOOKUP(AK183,'[3]17見直し計画'!$A$50:$AJ$584,8,0)</f>
        <v>ロシア月報作成</v>
      </c>
      <c r="AN183" s="224" t="str">
        <f>VLOOKUP(AK183,'[3]17見直し計画'!$A$50:$AJ$584,10,0)</f>
        <v>平成17/04/01</v>
      </c>
      <c r="AO183" s="205">
        <f>VLOOKUP(AK183,'[3]17見直し計画'!$A$50:$AJ$584,11,0)</f>
        <v>3091056</v>
      </c>
      <c r="AP183" s="204" t="str">
        <f>VLOOKUP(AK183,'[3]17見直し計画'!$A$50:$AJ$584,12,0)</f>
        <v>ＲＰは、２４時間体制でロシアのラジオニュースを聴取し、その翻訳にも高いロシア語能力の人材を豊富に擁し、ソ連時代からの情報・知識・経験の蓄積もあり、本件契約先として適切であると同時に、本件事業を実施するのに必要な公開情報の２４時間モニタリングを行う我が国唯一の機関であることから、本件契約先としてＲＰ以外の選択肢はない（会計法第２９条の３第４項）。</v>
      </c>
      <c r="AQ183" s="204" t="str">
        <f>VLOOKUP(AK183,'[3]17見直し計画'!$A$50:$AJ$584,13,0)</f>
        <v>見直しの余地があるもの</v>
      </c>
      <c r="AR183" s="204" t="str">
        <f>VLOOKUP(AK183,'[3]17見直し計画'!$A$50:$AJ$584,14,0)</f>
        <v>一般競争入札等に移行するための準備に時間を要するもの（１９年度以降において企画招請実施）</v>
      </c>
      <c r="AS183" s="204"/>
      <c r="AT183" s="204">
        <f>VLOOKUP(AK183,'[3]17見直し計画'!$A$50:$AJ$584,35,0)</f>
        <v>0</v>
      </c>
      <c r="AU183" s="204">
        <f>VLOOKUP(AK183,'[3]17見直し計画'!$A$50:$AJ$584,36,0)</f>
        <v>0</v>
      </c>
    </row>
    <row r="184" spans="2:47" ht="105" customHeight="1">
      <c r="B184" s="143" t="s">
        <v>549</v>
      </c>
      <c r="C184" s="143" t="s">
        <v>550</v>
      </c>
      <c r="D184" s="143" t="s">
        <v>732</v>
      </c>
      <c r="E184">
        <f t="shared" si="25"/>
        <v>98</v>
      </c>
      <c r="F184" s="122">
        <v>98</v>
      </c>
      <c r="G184" s="123">
        <v>98</v>
      </c>
      <c r="H184" s="124">
        <v>2200278</v>
      </c>
      <c r="I184" s="125"/>
      <c r="J184" s="124" t="s">
        <v>733</v>
      </c>
      <c r="K184" s="124" t="s">
        <v>433</v>
      </c>
      <c r="L184" s="126"/>
      <c r="M184" s="126"/>
      <c r="N184" s="127" t="s">
        <v>715</v>
      </c>
      <c r="O184" s="128" t="s">
        <v>139</v>
      </c>
      <c r="P184" s="126" t="s">
        <v>122</v>
      </c>
      <c r="Q184" s="129" t="s">
        <v>734</v>
      </c>
      <c r="R184" s="130" t="s">
        <v>735</v>
      </c>
      <c r="S184" s="131" t="s">
        <v>125</v>
      </c>
      <c r="T184" s="132">
        <v>40269</v>
      </c>
      <c r="U184" s="133" t="s">
        <v>736</v>
      </c>
      <c r="V184" s="134" t="s">
        <v>737</v>
      </c>
      <c r="W184" s="118" t="s">
        <v>563</v>
      </c>
      <c r="X184" s="135">
        <v>3622500</v>
      </c>
      <c r="Y184" s="135">
        <v>3622500</v>
      </c>
      <c r="Z184" s="136">
        <v>1</v>
      </c>
      <c r="AA184" s="127"/>
      <c r="AB184" s="127"/>
      <c r="AC184" s="127" t="s">
        <v>129</v>
      </c>
      <c r="AD184" s="137" t="s">
        <v>146</v>
      </c>
      <c r="AE184" s="138"/>
      <c r="AF184" s="125"/>
      <c r="AG184" s="117" t="s">
        <v>131</v>
      </c>
      <c r="AH184" s="139" t="s">
        <v>132</v>
      </c>
      <c r="AJ184" s="120"/>
      <c r="AK184" s="120" t="s">
        <v>738</v>
      </c>
      <c r="AL184" s="140" t="str">
        <f>VLOOKUP(AK184,'[3]17見直し計画'!$A$50:$AJ$584,6,0)</f>
        <v>ロイター・ジャパン株式会社</v>
      </c>
      <c r="AM184" s="140" t="str">
        <f>VLOOKUP(AK184,'[3]17見直し計画'!$A$50:$AJ$584,8,0)</f>
        <v>「ファクティバ・ドットコム」の利用契約</v>
      </c>
      <c r="AN184" s="180">
        <f>VLOOKUP(AK184,'[3]17見直し計画'!$A$50:$AJ$584,10,0)</f>
        <v>38443</v>
      </c>
      <c r="AO184" s="141">
        <f>VLOOKUP(AK184,'[3]17見直し計画'!$A$50:$AJ$584,11,0)</f>
        <v>4410000</v>
      </c>
      <c r="AP184" s="140" t="str">
        <f>VLOOKUP(AK184,'[3]17見直し計画'!$A$50:$AJ$584,12,0)</f>
        <v>本件データベースサービスの提供を行う会社との契約であり、他に競争を許さない（会計法第２９条の３第４項）。</v>
      </c>
      <c r="AQ184" s="140" t="str">
        <f>VLOOKUP(AK184,'[3]17見直し計画'!$A$50:$AJ$584,13,0)</f>
        <v>その他のもの</v>
      </c>
      <c r="AR184" s="140" t="str">
        <f>VLOOKUP(AK184,'[3]17見直し計画'!$A$50:$AJ$584,14,0)</f>
        <v>随意契約によらざるを得ないもの</v>
      </c>
      <c r="AS184" s="140"/>
      <c r="AT184" s="140" t="str">
        <f>VLOOKUP(AK184,'[3]17見直し計画'!$A$50:$AJ$584,35,0)</f>
        <v>行政目的を達成するために不可欠な情報の提供</v>
      </c>
      <c r="AU184" s="140" t="str">
        <f>VLOOKUP(AK184,'[3]17見直し計画'!$A$50:$AJ$584,36,0)</f>
        <v>ニ（ヘ）</v>
      </c>
    </row>
    <row r="185" spans="2:47" ht="105" hidden="1" customHeight="1">
      <c r="B185" s="159"/>
      <c r="C185" s="153"/>
      <c r="D185" s="153" t="s">
        <v>459</v>
      </c>
      <c r="E185" s="154">
        <f>SUM(E184+1)</f>
        <v>99</v>
      </c>
      <c r="F185" s="155">
        <v>99</v>
      </c>
      <c r="G185" s="156">
        <v>99</v>
      </c>
      <c r="H185" s="157">
        <v>2200215</v>
      </c>
      <c r="I185" s="158"/>
      <c r="J185" s="157" t="s">
        <v>739</v>
      </c>
      <c r="K185" s="157" t="s">
        <v>461</v>
      </c>
      <c r="L185" s="159"/>
      <c r="M185" s="159"/>
      <c r="N185" s="160" t="s">
        <v>162</v>
      </c>
      <c r="O185" s="161" t="s">
        <v>121</v>
      </c>
      <c r="P185" s="159" t="s">
        <v>163</v>
      </c>
      <c r="Q185" s="162" t="s">
        <v>740</v>
      </c>
      <c r="R185" s="163" t="s">
        <v>741</v>
      </c>
      <c r="S185" s="164" t="s">
        <v>125</v>
      </c>
      <c r="T185" s="165">
        <v>40269</v>
      </c>
      <c r="U185" s="166" t="s">
        <v>742</v>
      </c>
      <c r="V185" s="167" t="s">
        <v>743</v>
      </c>
      <c r="W185" s="151" t="s">
        <v>168</v>
      </c>
      <c r="X185" s="168">
        <v>3442380</v>
      </c>
      <c r="Y185" s="168">
        <v>3442380</v>
      </c>
      <c r="Z185" s="169">
        <v>1</v>
      </c>
      <c r="AA185" s="160">
        <v>0</v>
      </c>
      <c r="AB185" s="160"/>
      <c r="AC185" s="160" t="s">
        <v>169</v>
      </c>
      <c r="AD185" s="170" t="s">
        <v>170</v>
      </c>
      <c r="AE185" s="171"/>
      <c r="AF185" s="158"/>
      <c r="AG185" s="172" t="s">
        <v>131</v>
      </c>
      <c r="AH185" s="173" t="s">
        <v>171</v>
      </c>
      <c r="AI185" s="154"/>
      <c r="AJ185" s="152"/>
      <c r="AK185" s="152" t="s">
        <v>744</v>
      </c>
      <c r="AL185" s="174" t="str">
        <f>VLOOKUP(AK185,'[3]17見直し計画'!$A$50:$AJ$584,6,0)</f>
        <v>財団法人　
海外邦人医療基金</v>
      </c>
      <c r="AM185" s="174" t="str">
        <f>VLOOKUP(AK185,'[3]17見直し計画'!$A$50:$AJ$584,8,0)</f>
        <v>平成１７年度外務省巡回医師団派遣</v>
      </c>
      <c r="AN185" s="225" t="str">
        <f>VLOOKUP(AK185,'[3]17見直し計画'!$A$50:$AJ$584,10,0)</f>
        <v>平成17/04/18</v>
      </c>
      <c r="AO185" s="175">
        <f>VLOOKUP(AK185,'[3]17見直し計画'!$A$50:$AJ$584,11,0)</f>
        <v>4185900</v>
      </c>
      <c r="AP185" s="174" t="str">
        <f>VLOOKUP(AK185,'[3]17見直し計画'!$A$50:$AJ$584,12,0)</f>
        <v>当該基金は、海外で長期滞在する邦人に対する医療サービスの確保が困難であるとの事情に対応するために、経済界が中心になって設立した純民間の財団法人。海外における適切な医療サービスの安定的な確保は邦人の強い要請であり、民間の努力に協力する形で本件事業を実施し、当該財団にノウハウを蓄積することは政策上不可欠（会計法第２９条の３第４項）。</v>
      </c>
      <c r="AQ185" s="174" t="str">
        <f>VLOOKUP(AK185,'[3]17見直し計画'!$A$50:$AJ$584,13,0)</f>
        <v>見直しの余地があるもの</v>
      </c>
      <c r="AR185" s="174" t="str">
        <f>VLOOKUP(AK185,'[3]17見直し計画'!$A$50:$AJ$584,14,0)</f>
        <v>一般競争入札等に移行するための準備に時間を要する者（２０年度以降において公募実施）</v>
      </c>
      <c r="AS185" s="174"/>
      <c r="AT185" s="174">
        <f>VLOOKUP(AK185,'[3]17見直し計画'!$A$50:$AJ$584,35,0)</f>
        <v>0</v>
      </c>
      <c r="AU185" s="174">
        <f>VLOOKUP(AK185,'[3]17見直し計画'!$A$50:$AJ$584,36,0)</f>
        <v>0</v>
      </c>
    </row>
    <row r="186" spans="2:47" ht="105" hidden="1" customHeight="1">
      <c r="B186" s="189"/>
      <c r="C186" s="223"/>
      <c r="D186" s="223" t="s">
        <v>227</v>
      </c>
      <c r="E186" s="184">
        <f t="shared" si="25"/>
        <v>100</v>
      </c>
      <c r="F186" s="185">
        <v>100</v>
      </c>
      <c r="G186" s="186">
        <v>100</v>
      </c>
      <c r="H186" s="187">
        <v>2200073</v>
      </c>
      <c r="I186" s="188"/>
      <c r="J186" s="187" t="s">
        <v>745</v>
      </c>
      <c r="K186" s="187" t="s">
        <v>746</v>
      </c>
      <c r="L186" s="189"/>
      <c r="M186" s="189"/>
      <c r="N186" s="190" t="s">
        <v>230</v>
      </c>
      <c r="O186" s="191" t="s">
        <v>139</v>
      </c>
      <c r="P186" s="189" t="s">
        <v>231</v>
      </c>
      <c r="Q186" s="192" t="s">
        <v>747</v>
      </c>
      <c r="R186" s="193" t="s">
        <v>748</v>
      </c>
      <c r="S186" s="194" t="s">
        <v>125</v>
      </c>
      <c r="T186" s="195">
        <v>40269</v>
      </c>
      <c r="U186" s="196" t="s">
        <v>749</v>
      </c>
      <c r="V186" s="197" t="s">
        <v>750</v>
      </c>
      <c r="W186" s="181" t="s">
        <v>236</v>
      </c>
      <c r="X186" s="198">
        <v>3520000</v>
      </c>
      <c r="Y186" s="198">
        <v>3414060</v>
      </c>
      <c r="Z186" s="199">
        <v>0.96899999999999997</v>
      </c>
      <c r="AA186" s="190"/>
      <c r="AB186" s="190"/>
      <c r="AC186" s="190">
        <v>5</v>
      </c>
      <c r="AD186" s="200" t="s">
        <v>237</v>
      </c>
      <c r="AE186" s="201"/>
      <c r="AF186" s="188"/>
      <c r="AG186" s="202" t="s">
        <v>131</v>
      </c>
      <c r="AH186" s="203" t="s">
        <v>238</v>
      </c>
      <c r="AI186" s="184"/>
      <c r="AJ186" s="182"/>
      <c r="AK186" s="182" t="s">
        <v>751</v>
      </c>
      <c r="AL186" s="204" t="str">
        <f>VLOOKUP(AK186,'[3]17見直し計画'!$A$50:$AJ$584,6,0)</f>
        <v>株式会社インターグループ</v>
      </c>
      <c r="AM186" s="204" t="str">
        <f>VLOOKUP(AK186,'[3]17見直し計画'!$A$50:$AJ$584,8,0)</f>
        <v>新入省職員実務英語集中研修</v>
      </c>
      <c r="AN186" s="224">
        <f>VLOOKUP(AK186,'[3]17見直し計画'!$A$50:$AJ$584,10,0)</f>
        <v>38447</v>
      </c>
      <c r="AO186" s="205">
        <f>VLOOKUP(AK186,'[3]17見直し計画'!$A$50:$AJ$584,11,0)</f>
        <v>3532250</v>
      </c>
      <c r="AP186" s="204" t="str">
        <f>VLOOKUP(AK186,'[3]17見直し計画'!$A$50:$AJ$584,12,0)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186" s="204" t="str">
        <f>VLOOKUP(AK186,'[3]17見直し計画'!$A$50:$AJ$584,13,0)</f>
        <v>見直しの余地があるもの</v>
      </c>
      <c r="AR186" s="204" t="str">
        <f>VLOOKUP(AK186,'[3]17見直し計画'!$A$50:$AJ$584,14,0)</f>
        <v>企画招請を実施（１８年度以降も引き続き実施）</v>
      </c>
      <c r="AS186" s="204"/>
      <c r="AT186" s="204">
        <f>VLOOKUP(AK186,'[3]17見直し計画'!$A$50:$AJ$584,35,0)</f>
        <v>0</v>
      </c>
      <c r="AU186" s="204">
        <f>VLOOKUP(AK186,'[3]17見直し計画'!$A$50:$AJ$584,36,0)</f>
        <v>0</v>
      </c>
    </row>
    <row r="187" spans="2:47" ht="105" hidden="1" customHeight="1">
      <c r="B187" s="189"/>
      <c r="C187" s="223"/>
      <c r="D187" s="223" t="s">
        <v>752</v>
      </c>
      <c r="E187" s="184">
        <f t="shared" si="25"/>
        <v>101</v>
      </c>
      <c r="F187" s="185">
        <v>101</v>
      </c>
      <c r="G187" s="186">
        <v>101</v>
      </c>
      <c r="H187" s="187">
        <v>2200060</v>
      </c>
      <c r="I187" s="188"/>
      <c r="J187" s="187" t="s">
        <v>753</v>
      </c>
      <c r="K187" s="187" t="s">
        <v>746</v>
      </c>
      <c r="L187" s="189"/>
      <c r="M187" s="189"/>
      <c r="N187" s="190" t="s">
        <v>230</v>
      </c>
      <c r="O187" s="191" t="s">
        <v>139</v>
      </c>
      <c r="P187" s="189" t="s">
        <v>231</v>
      </c>
      <c r="Q187" s="192" t="s">
        <v>754</v>
      </c>
      <c r="R187" s="193" t="s">
        <v>755</v>
      </c>
      <c r="S187" s="194" t="s">
        <v>125</v>
      </c>
      <c r="T187" s="195">
        <v>40269</v>
      </c>
      <c r="U187" s="196" t="s">
        <v>756</v>
      </c>
      <c r="V187" s="197" t="s">
        <v>757</v>
      </c>
      <c r="W187" s="181" t="s">
        <v>236</v>
      </c>
      <c r="X187" s="198">
        <v>3610000</v>
      </c>
      <c r="Y187" s="198">
        <v>3413164</v>
      </c>
      <c r="Z187" s="199">
        <v>0.94499999999999995</v>
      </c>
      <c r="AA187" s="190"/>
      <c r="AB187" s="190"/>
      <c r="AC187" s="190">
        <v>6</v>
      </c>
      <c r="AD187" s="200" t="s">
        <v>237</v>
      </c>
      <c r="AE187" s="201"/>
      <c r="AF187" s="188"/>
      <c r="AG187" s="202" t="s">
        <v>131</v>
      </c>
      <c r="AH187" s="203" t="s">
        <v>238</v>
      </c>
      <c r="AI187" s="184"/>
      <c r="AJ187" s="182"/>
      <c r="AK187" s="182" t="s">
        <v>758</v>
      </c>
      <c r="AL187" s="204" t="str">
        <f>VLOOKUP(AK187,'[3]17見直し計画'!$A$50:$AJ$584,6,0)</f>
        <v>株式会社アヴァンティスタッフ</v>
      </c>
      <c r="AM187" s="204" t="str">
        <f>VLOOKUP(AK187,'[3]17見直し計画'!$A$50:$AJ$584,8,0)</f>
        <v>非英語研修中堅職員の英語研修</v>
      </c>
      <c r="AN187" s="224">
        <f>VLOOKUP(AK187,'[3]17見直し計画'!$A$50:$AJ$584,10,0)</f>
        <v>38462</v>
      </c>
      <c r="AO187" s="205">
        <f>VLOOKUP(AK187,'[3]17見直し計画'!$A$50:$AJ$584,11,0)</f>
        <v>3619684</v>
      </c>
      <c r="AP187" s="204" t="str">
        <f>VLOOKUP(AK187,'[3]17見直し計画'!$A$50:$AJ$584,12,0)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187" s="204" t="str">
        <f>VLOOKUP(AK187,'[3]17見直し計画'!$A$50:$AJ$584,13,0)</f>
        <v>見直しの余地があるもの</v>
      </c>
      <c r="AR187" s="204" t="str">
        <f>VLOOKUP(AK187,'[3]17見直し計画'!$A$50:$AJ$584,14,0)</f>
        <v>企画招請を実施（１８年度以降も引き続き実施）</v>
      </c>
      <c r="AS187" s="204"/>
      <c r="AT187" s="204">
        <f>VLOOKUP(AK187,'[3]17見直し計画'!$A$50:$AJ$584,35,0)</f>
        <v>0</v>
      </c>
      <c r="AU187" s="204">
        <f>VLOOKUP(AK187,'[3]17見直し計画'!$A$50:$AJ$584,36,0)</f>
        <v>0</v>
      </c>
    </row>
    <row r="188" spans="2:47" ht="105" customHeight="1">
      <c r="B188" s="143" t="s">
        <v>549</v>
      </c>
      <c r="C188" s="143" t="s">
        <v>550</v>
      </c>
      <c r="D188" s="143" t="s">
        <v>351</v>
      </c>
      <c r="E188">
        <f t="shared" si="25"/>
        <v>102</v>
      </c>
      <c r="F188" s="122">
        <v>102</v>
      </c>
      <c r="G188" s="123">
        <v>102</v>
      </c>
      <c r="H188" s="124">
        <v>2200029</v>
      </c>
      <c r="I188" s="125"/>
      <c r="J188" s="124"/>
      <c r="K188" s="124" t="s">
        <v>286</v>
      </c>
      <c r="L188" s="126"/>
      <c r="M188" s="126"/>
      <c r="N188" s="127" t="s">
        <v>138</v>
      </c>
      <c r="O188" s="128" t="s">
        <v>139</v>
      </c>
      <c r="P188" s="126" t="s">
        <v>122</v>
      </c>
      <c r="Q188" s="129" t="s">
        <v>759</v>
      </c>
      <c r="R188" s="130" t="s">
        <v>760</v>
      </c>
      <c r="S188" s="131" t="s">
        <v>125</v>
      </c>
      <c r="T188" s="132">
        <v>40269</v>
      </c>
      <c r="U188" s="133" t="s">
        <v>761</v>
      </c>
      <c r="V188" s="134" t="s">
        <v>762</v>
      </c>
      <c r="W188" s="118" t="s">
        <v>617</v>
      </c>
      <c r="X188" s="135">
        <v>3402000</v>
      </c>
      <c r="Y188" s="135">
        <v>3402000</v>
      </c>
      <c r="Z188" s="136">
        <v>1</v>
      </c>
      <c r="AA188" s="127"/>
      <c r="AB188" s="127"/>
      <c r="AC188" s="127" t="s">
        <v>129</v>
      </c>
      <c r="AD188" s="137" t="s">
        <v>146</v>
      </c>
      <c r="AE188" s="138"/>
      <c r="AF188" s="125"/>
      <c r="AG188" s="117" t="s">
        <v>131</v>
      </c>
      <c r="AH188" s="139" t="s">
        <v>132</v>
      </c>
      <c r="AJ188" s="120"/>
      <c r="AK188" s="120" t="s">
        <v>763</v>
      </c>
      <c r="AL188" s="140" t="str">
        <f>VLOOKUP(AK188,'[3]17見直し計画'!$A$50:$AJ$584,6,0)</f>
        <v>ＢＢＣ　Ｗｏｒｌｄ　ディストリビューション・ジャパン株式会社</v>
      </c>
      <c r="AM188" s="140" t="str">
        <f>VLOOKUP(AK188,'[3]17見直し計画'!$A$50:$AJ$584,8,0)</f>
        <v>ＢＢＣ放送受信契約</v>
      </c>
      <c r="AN188" s="180">
        <f>VLOOKUP(AK188,'[3]17見直し計画'!$A$50:$AJ$584,10,0)</f>
        <v>38443</v>
      </c>
      <c r="AO188" s="141">
        <f>VLOOKUP(AK188,'[3]17見直し計画'!$A$50:$AJ$584,11,0)</f>
        <v>3402000</v>
      </c>
      <c r="AP188" s="140" t="str">
        <f>VLOOKUP(AK188,'[3]17見直し計画'!$A$50:$AJ$584,12,0)</f>
        <v>ＢＢＣ放送を行っている放送会社との受信契約であり、他に競争を許さない（会計法第２９条の３第４項）。</v>
      </c>
      <c r="AQ188" s="140" t="str">
        <f>VLOOKUP(AK188,'[3]17見直し計画'!$A$50:$AJ$584,13,0)</f>
        <v>その他のもの</v>
      </c>
      <c r="AR188" s="140" t="str">
        <f>VLOOKUP(AK188,'[3]17見直し計画'!$A$50:$AJ$584,14,0)</f>
        <v>随意契約によらざるを得ないもの</v>
      </c>
      <c r="AS188" s="140"/>
      <c r="AT188" s="140" t="str">
        <f>VLOOKUP(AK188,'[3]17見直し計画'!$A$50:$AJ$584,35,0)</f>
        <v>行政目的を達成するために不可欠な情報の提供</v>
      </c>
      <c r="AU188" s="140" t="str">
        <f>VLOOKUP(AK188,'[3]17見直し計画'!$A$50:$AJ$584,36,0)</f>
        <v>ニ（ヘ）</v>
      </c>
    </row>
    <row r="189" spans="2:47" ht="105" hidden="1" customHeight="1">
      <c r="B189" s="126" t="s">
        <v>335</v>
      </c>
      <c r="C189" s="143" t="s">
        <v>135</v>
      </c>
      <c r="D189" s="143" t="s">
        <v>136</v>
      </c>
      <c r="E189">
        <f>SUM(E188+1)</f>
        <v>103</v>
      </c>
      <c r="F189" s="122">
        <v>103</v>
      </c>
      <c r="G189" s="123">
        <v>103</v>
      </c>
      <c r="H189" s="124">
        <v>2200184</v>
      </c>
      <c r="I189" s="125"/>
      <c r="J189" s="124" t="s">
        <v>764</v>
      </c>
      <c r="K189" s="124" t="s">
        <v>195</v>
      </c>
      <c r="L189" s="126"/>
      <c r="M189" s="126"/>
      <c r="N189" s="127" t="s">
        <v>138</v>
      </c>
      <c r="O189" s="128" t="s">
        <v>139</v>
      </c>
      <c r="P189" s="126" t="s">
        <v>122</v>
      </c>
      <c r="Q189" s="129" t="s">
        <v>765</v>
      </c>
      <c r="R189" s="130" t="s">
        <v>766</v>
      </c>
      <c r="S189" s="131" t="s">
        <v>125</v>
      </c>
      <c r="T189" s="132">
        <v>40269</v>
      </c>
      <c r="U189" s="133" t="s">
        <v>767</v>
      </c>
      <c r="V189" s="134" t="s">
        <v>768</v>
      </c>
      <c r="W189" s="118" t="s">
        <v>155</v>
      </c>
      <c r="X189" s="135">
        <v>3119754</v>
      </c>
      <c r="Y189" s="135">
        <v>3119754</v>
      </c>
      <c r="Z189" s="136">
        <v>1</v>
      </c>
      <c r="AA189" s="127"/>
      <c r="AB189" s="127"/>
      <c r="AC189" s="127" t="s">
        <v>129</v>
      </c>
      <c r="AD189" s="137" t="s">
        <v>146</v>
      </c>
      <c r="AE189" s="138"/>
      <c r="AF189" s="125"/>
      <c r="AG189" s="117" t="s">
        <v>131</v>
      </c>
      <c r="AH189" s="139" t="s">
        <v>132</v>
      </c>
      <c r="AJ189" s="179" t="s">
        <v>769</v>
      </c>
      <c r="AK189" s="120" t="s">
        <v>147</v>
      </c>
      <c r="AL189" s="140" t="str">
        <f>VLOOKUP(AK189,'[3]17見直し計画'!$A$50:$AJ$584,6,0)</f>
        <v>　見直し計画策定以降の新規案件</v>
      </c>
      <c r="AM189" s="140">
        <f>VLOOKUP(AK189,'[3]17見直し計画'!$A$50:$AJ$584,8,0)</f>
        <v>0</v>
      </c>
      <c r="AN189" s="180"/>
      <c r="AO189" s="141">
        <f>VLOOKUP(AK189,'[3]17見直し計画'!$A$50:$AJ$584,11,0)</f>
        <v>0</v>
      </c>
      <c r="AP189" s="140">
        <f>VLOOKUP(AK189,'[3]17見直し計画'!$A$50:$AJ$584,12,0)</f>
        <v>0</v>
      </c>
      <c r="AQ189" s="140">
        <f>VLOOKUP(AK189,'[3]17見直し計画'!$A$50:$AJ$584,13,0)</f>
        <v>0</v>
      </c>
      <c r="AR189" s="140">
        <f>VLOOKUP(AK189,'[3]17見直し計画'!$A$50:$AJ$584,14,0)</f>
        <v>0</v>
      </c>
      <c r="AS189" s="140"/>
      <c r="AT189" s="140">
        <f>VLOOKUP(AK189,'[3]17見直し計画'!$A$50:$AJ$584,35,0)</f>
        <v>0</v>
      </c>
      <c r="AU189" s="140">
        <f>VLOOKUP(AK189,'[3]17見直し計画'!$A$50:$AJ$584,36,0)</f>
        <v>0</v>
      </c>
    </row>
    <row r="190" spans="2:47" ht="105" hidden="1" customHeight="1">
      <c r="B190" s="152"/>
      <c r="C190" s="152"/>
      <c r="D190" s="153" t="s">
        <v>159</v>
      </c>
      <c r="E190" s="154">
        <f t="shared" si="25"/>
        <v>104</v>
      </c>
      <c r="F190" s="155">
        <v>104</v>
      </c>
      <c r="G190" s="156">
        <v>104</v>
      </c>
      <c r="H190" s="157">
        <v>2200232</v>
      </c>
      <c r="I190" s="158"/>
      <c r="J190" s="157"/>
      <c r="K190" s="157" t="s">
        <v>680</v>
      </c>
      <c r="L190" s="159"/>
      <c r="M190" s="159"/>
      <c r="N190" s="160" t="s">
        <v>266</v>
      </c>
      <c r="O190" s="161" t="s">
        <v>139</v>
      </c>
      <c r="P190" s="159" t="s">
        <v>163</v>
      </c>
      <c r="Q190" s="162" t="s">
        <v>770</v>
      </c>
      <c r="R190" s="163" t="s">
        <v>771</v>
      </c>
      <c r="S190" s="164" t="s">
        <v>125</v>
      </c>
      <c r="T190" s="165">
        <v>40269</v>
      </c>
      <c r="U190" s="166" t="s">
        <v>772</v>
      </c>
      <c r="V190" s="167" t="s">
        <v>773</v>
      </c>
      <c r="W190" s="151" t="s">
        <v>168</v>
      </c>
      <c r="X190" s="168" t="s">
        <v>774</v>
      </c>
      <c r="Y190" s="228">
        <v>9320332</v>
      </c>
      <c r="Z190" s="169" t="e">
        <v>#VALUE!</v>
      </c>
      <c r="AA190" s="160"/>
      <c r="AB190" s="160" t="s">
        <v>775</v>
      </c>
      <c r="AC190" s="160" t="s">
        <v>169</v>
      </c>
      <c r="AD190" s="170" t="s">
        <v>271</v>
      </c>
      <c r="AE190" s="171"/>
      <c r="AF190" s="158"/>
      <c r="AG190" s="172" t="s">
        <v>131</v>
      </c>
      <c r="AH190" s="173" t="s">
        <v>171</v>
      </c>
      <c r="AI190" s="154"/>
      <c r="AJ190" s="152"/>
      <c r="AK190" s="152" t="s">
        <v>776</v>
      </c>
      <c r="AL190" s="174" t="str">
        <f>VLOOKUP(AK190,'[3]17見直し計画'!$A$50:$AJ$584,6,0)</f>
        <v>株式会社アテナ</v>
      </c>
      <c r="AM190" s="174" t="str">
        <f>VLOOKUP(AK190,'[3]17見直し計画'!$A$50:$AJ$584,8,0)</f>
        <v>国・公賓接遇に係る国旗掲揚諸業務（※５件）</v>
      </c>
      <c r="AN190" s="225">
        <f>VLOOKUP(AK190,'[3]17見直し計画'!$A$50:$AJ$584,10,0)</f>
        <v>38497</v>
      </c>
      <c r="AO190" s="175">
        <f>VLOOKUP(AK190,'[3]17見直し計画'!$A$50:$AJ$584,11,0)</f>
        <v>10539450</v>
      </c>
      <c r="AP190" s="174" t="str">
        <f>VLOOKUP(AK190,'[3]17見直し計画'!$A$50:$AJ$584,12,0)</f>
        <v>国公賓等の接遇の際に必要となる一連の諸業務である、公式万国旗の製造・保管、配布・回収、街路旗のレンタル・取り付け・撤去・メンテナンス等の一括請負が可能な業者が他になく、競争を許さない（会計法第２９条の３第４項）。</v>
      </c>
      <c r="AQ190" s="174" t="str">
        <f>VLOOKUP(AK190,'[3]17見直し計画'!$A$50:$AJ$584,13,0)</f>
        <v>見直しの余地があるもの</v>
      </c>
      <c r="AR190" s="174" t="str">
        <f>VLOOKUP(AK190,'[3]17見直し計画'!$A$50:$AJ$584,14,0)</f>
        <v>競争入札もしくは公募に移行（平成２０年度から実施予定）</v>
      </c>
      <c r="AS190" s="174"/>
      <c r="AT190" s="174">
        <f>VLOOKUP(AK190,'[3]17見直し計画'!$A$50:$AJ$584,35,0)</f>
        <v>0</v>
      </c>
      <c r="AU190" s="174">
        <f>VLOOKUP(AK190,'[3]17見直し計画'!$A$50:$AJ$584,36,0)</f>
        <v>0</v>
      </c>
    </row>
    <row r="191" spans="2:47" ht="105" hidden="1" customHeight="1">
      <c r="B191" s="182"/>
      <c r="C191" s="182"/>
      <c r="D191" s="223" t="s">
        <v>752</v>
      </c>
      <c r="E191" s="184">
        <f t="shared" si="25"/>
        <v>105</v>
      </c>
      <c r="F191" s="185">
        <v>105</v>
      </c>
      <c r="G191" s="186">
        <v>105</v>
      </c>
      <c r="H191" s="187">
        <v>2200100</v>
      </c>
      <c r="I191" s="188"/>
      <c r="J191" s="187" t="s">
        <v>777</v>
      </c>
      <c r="K191" s="187" t="s">
        <v>626</v>
      </c>
      <c r="L191" s="189"/>
      <c r="M191" s="189"/>
      <c r="N191" s="190" t="s">
        <v>230</v>
      </c>
      <c r="O191" s="191" t="s">
        <v>139</v>
      </c>
      <c r="P191" s="189" t="s">
        <v>231</v>
      </c>
      <c r="Q191" s="192" t="s">
        <v>778</v>
      </c>
      <c r="R191" s="193" t="s">
        <v>779</v>
      </c>
      <c r="S191" s="194" t="s">
        <v>125</v>
      </c>
      <c r="T191" s="195">
        <v>40269</v>
      </c>
      <c r="U191" s="196" t="s">
        <v>780</v>
      </c>
      <c r="V191" s="197" t="s">
        <v>781</v>
      </c>
      <c r="W191" s="181" t="s">
        <v>236</v>
      </c>
      <c r="X191" s="198">
        <v>3112200</v>
      </c>
      <c r="Y191" s="198">
        <v>2940084</v>
      </c>
      <c r="Z191" s="199">
        <v>0.94399999999999995</v>
      </c>
      <c r="AA191" s="190"/>
      <c r="AB191" s="190"/>
      <c r="AC191" s="190">
        <v>3</v>
      </c>
      <c r="AD191" s="200" t="s">
        <v>237</v>
      </c>
      <c r="AE191" s="201"/>
      <c r="AF191" s="188"/>
      <c r="AG191" s="202" t="s">
        <v>131</v>
      </c>
      <c r="AH191" s="203" t="s">
        <v>238</v>
      </c>
      <c r="AI191" s="184"/>
      <c r="AJ191" s="182"/>
      <c r="AK191" s="182" t="s">
        <v>632</v>
      </c>
      <c r="AL191" s="204" t="str">
        <f>VLOOKUP(AK191,'[3]17見直し計画'!$A$50:$AJ$584,6,0)</f>
        <v>財団法人日本システム開発研究所</v>
      </c>
      <c r="AM191" s="204" t="str">
        <f>VLOOKUP(AK191,'[3]17見直し計画'!$A$50:$AJ$584,8,0)</f>
        <v>「外交関係報道対策に係る調査・分析」業務委嘱</v>
      </c>
      <c r="AN191" s="224">
        <f>VLOOKUP(AK191,'[3]17見直し計画'!$A$50:$AJ$584,10,0)</f>
        <v>38644</v>
      </c>
      <c r="AO191" s="205">
        <f>VLOOKUP(AK191,'[3]17見直し計画'!$A$50:$AJ$584,11,0)</f>
        <v>2520000</v>
      </c>
      <c r="AP191" s="204" t="str">
        <f>VLOOKUP(AK191,'[3]17見直し計画'!$A$50:$AJ$584,12,0)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191" s="204" t="str">
        <f>VLOOKUP(AK191,'[3]17見直し計画'!$A$50:$AJ$584,13,0)</f>
        <v>見直しの余地があるもの</v>
      </c>
      <c r="AR191" s="204" t="str">
        <f>VLOOKUP(AK191,'[3]17見直し計画'!$A$50:$AJ$584,14,0)</f>
        <v>企画招請を実施（１８年度以降も引き続き実施）</v>
      </c>
      <c r="AS191" s="204"/>
      <c r="AT191" s="204">
        <f>VLOOKUP(AK191,'[3]17見直し計画'!$A$50:$AJ$584,35,0)</f>
        <v>0</v>
      </c>
      <c r="AU191" s="204">
        <f>VLOOKUP(AK191,'[3]17見直し計画'!$A$50:$AJ$584,36,0)</f>
        <v>0</v>
      </c>
    </row>
    <row r="192" spans="2:47" ht="105" customHeight="1">
      <c r="B192" s="143" t="s">
        <v>349</v>
      </c>
      <c r="C192" s="143" t="s">
        <v>550</v>
      </c>
      <c r="D192" s="143" t="s">
        <v>351</v>
      </c>
      <c r="E192">
        <f t="shared" si="25"/>
        <v>106</v>
      </c>
      <c r="F192" s="122">
        <v>106</v>
      </c>
      <c r="G192" s="123">
        <v>106</v>
      </c>
      <c r="H192" s="124">
        <v>2200416</v>
      </c>
      <c r="I192" s="125"/>
      <c r="J192" s="124" t="s">
        <v>782</v>
      </c>
      <c r="K192" s="124" t="s">
        <v>353</v>
      </c>
      <c r="L192" s="126"/>
      <c r="M192" s="126"/>
      <c r="N192" s="127" t="s">
        <v>354</v>
      </c>
      <c r="O192" s="128" t="s">
        <v>355</v>
      </c>
      <c r="P192" s="126" t="s">
        <v>122</v>
      </c>
      <c r="Q192" s="129" t="s">
        <v>783</v>
      </c>
      <c r="R192" s="130" t="s">
        <v>784</v>
      </c>
      <c r="S192" s="131" t="s">
        <v>125</v>
      </c>
      <c r="T192" s="132">
        <v>40269</v>
      </c>
      <c r="U192" s="133" t="s">
        <v>358</v>
      </c>
      <c r="V192" s="134" t="s">
        <v>359</v>
      </c>
      <c r="W192" s="118" t="s">
        <v>617</v>
      </c>
      <c r="X192" s="135">
        <v>2759400</v>
      </c>
      <c r="Y192" s="135">
        <v>2759400</v>
      </c>
      <c r="Z192" s="136">
        <v>1</v>
      </c>
      <c r="AA192" s="127"/>
      <c r="AB192" s="127"/>
      <c r="AC192" s="127" t="s">
        <v>129</v>
      </c>
      <c r="AD192" s="137" t="s">
        <v>361</v>
      </c>
      <c r="AE192" s="138"/>
      <c r="AF192" s="125"/>
      <c r="AG192" s="117" t="s">
        <v>131</v>
      </c>
      <c r="AH192" s="139" t="s">
        <v>132</v>
      </c>
      <c r="AJ192" s="120"/>
      <c r="AK192" s="120" t="s">
        <v>785</v>
      </c>
      <c r="AL192" s="140" t="str">
        <f>VLOOKUP(AK192,'[3]17見直し計画'!$A$50:$AJ$584,6,0)</f>
        <v>成田国際空港株式会社</v>
      </c>
      <c r="AM192" s="140" t="str">
        <f>VLOOKUP(AK192,'[3]17見直し計画'!$A$50:$AJ$584,8,0)</f>
        <v>成田分室等のフライト情報提供に係わるビデオ表示器使用契約</v>
      </c>
      <c r="AN192" s="180" t="str">
        <f>VLOOKUP(AK192,'[3]17見直し計画'!$A$50:$AJ$584,10,0)</f>
        <v>平成17/04/01</v>
      </c>
      <c r="AO192" s="141">
        <f>VLOOKUP(AK192,'[3]17見直し計画'!$A$50:$AJ$584,11,0)</f>
        <v>2759400</v>
      </c>
      <c r="AP192" s="140" t="str">
        <f>VLOOKUP(AK192,'[3]17見直し計画'!$A$50:$AJ$584,12,0)</f>
        <v>契約可能な相手が成田空港株式会社以外になく、他に競争を許さない（会計法第２９条の３第４項）。</v>
      </c>
      <c r="AQ192" s="140" t="str">
        <f>VLOOKUP(AK192,'[3]17見直し計画'!$A$50:$AJ$584,13,0)</f>
        <v>その他のもの</v>
      </c>
      <c r="AR192" s="140" t="str">
        <f>VLOOKUP(AK192,'[3]17見直し計画'!$A$50:$AJ$584,14,0)</f>
        <v>ー
（随意契約によらざるを得ないもの）</v>
      </c>
      <c r="AS192" s="140"/>
      <c r="AT192" s="140" t="str">
        <f>VLOOKUP(AK192,'[3]17見直し計画'!$A$50:$AJ$584,35,0)</f>
        <v>場所が限定される賃貸借その他業務</v>
      </c>
      <c r="AU192" s="140" t="str">
        <f>VLOOKUP(AK192,'[3]17見直し計画'!$A$50:$AJ$584,36,0)</f>
        <v>ロ</v>
      </c>
    </row>
    <row r="193" spans="2:47" ht="105" hidden="1" customHeight="1">
      <c r="B193" s="126" t="s">
        <v>193</v>
      </c>
      <c r="C193" s="143" t="s">
        <v>135</v>
      </c>
      <c r="D193" s="143" t="s">
        <v>136</v>
      </c>
      <c r="E193">
        <f>SUM(E192+1)</f>
        <v>107</v>
      </c>
      <c r="F193" s="122">
        <v>107</v>
      </c>
      <c r="G193" s="123">
        <v>107</v>
      </c>
      <c r="H193" s="124">
        <v>2200161</v>
      </c>
      <c r="I193" s="125"/>
      <c r="J193" s="124" t="s">
        <v>786</v>
      </c>
      <c r="K193" s="124" t="s">
        <v>195</v>
      </c>
      <c r="L193" s="126"/>
      <c r="M193" s="126"/>
      <c r="N193" s="127" t="s">
        <v>138</v>
      </c>
      <c r="O193" s="128" t="s">
        <v>139</v>
      </c>
      <c r="P193" s="126" t="s">
        <v>122</v>
      </c>
      <c r="Q193" s="129" t="s">
        <v>787</v>
      </c>
      <c r="R193" s="130" t="s">
        <v>788</v>
      </c>
      <c r="S193" s="131" t="s">
        <v>125</v>
      </c>
      <c r="T193" s="132">
        <v>40269</v>
      </c>
      <c r="U193" s="133" t="s">
        <v>789</v>
      </c>
      <c r="V193" s="134" t="s">
        <v>790</v>
      </c>
      <c r="W193" s="118" t="s">
        <v>191</v>
      </c>
      <c r="X193" s="135">
        <v>2711000</v>
      </c>
      <c r="Y193" s="135">
        <v>2711000</v>
      </c>
      <c r="Z193" s="136">
        <v>1</v>
      </c>
      <c r="AA193" s="127"/>
      <c r="AB193" s="127"/>
      <c r="AC193" s="127" t="s">
        <v>129</v>
      </c>
      <c r="AD193" s="137" t="s">
        <v>146</v>
      </c>
      <c r="AE193" s="138"/>
      <c r="AF193" s="125"/>
      <c r="AG193" s="117" t="s">
        <v>131</v>
      </c>
      <c r="AH193" s="139" t="s">
        <v>132</v>
      </c>
      <c r="AJ193" s="179" t="s">
        <v>791</v>
      </c>
      <c r="AK193" s="120" t="s">
        <v>147</v>
      </c>
      <c r="AL193" s="140" t="str">
        <f>VLOOKUP(AK193,'[3]17見直し計画'!$A$50:$AJ$584,6,0)</f>
        <v>　見直し計画策定以降の新規案件</v>
      </c>
      <c r="AM193" s="140">
        <f>VLOOKUP(AK193,'[3]17見直し計画'!$A$50:$AJ$584,8,0)</f>
        <v>0</v>
      </c>
      <c r="AN193" s="180"/>
      <c r="AO193" s="141">
        <f>VLOOKUP(AK193,'[3]17見直し計画'!$A$50:$AJ$584,11,0)</f>
        <v>0</v>
      </c>
      <c r="AP193" s="140">
        <f>VLOOKUP(AK193,'[3]17見直し計画'!$A$50:$AJ$584,12,0)</f>
        <v>0</v>
      </c>
      <c r="AQ193" s="140">
        <f>VLOOKUP(AK193,'[3]17見直し計画'!$A$50:$AJ$584,13,0)</f>
        <v>0</v>
      </c>
      <c r="AR193" s="140">
        <f>VLOOKUP(AK193,'[3]17見直し計画'!$A$50:$AJ$584,14,0)</f>
        <v>0</v>
      </c>
      <c r="AS193" s="140"/>
      <c r="AT193" s="140">
        <f>VLOOKUP(AK193,'[3]17見直し計画'!$A$50:$AJ$584,35,0)</f>
        <v>0</v>
      </c>
      <c r="AU193" s="140">
        <f>VLOOKUP(AK193,'[3]17見直し計画'!$A$50:$AJ$584,36,0)</f>
        <v>0</v>
      </c>
    </row>
    <row r="194" spans="2:47" ht="105" hidden="1" customHeight="1">
      <c r="B194" s="126" t="s">
        <v>193</v>
      </c>
      <c r="C194" s="143" t="s">
        <v>135</v>
      </c>
      <c r="D194" s="143" t="s">
        <v>136</v>
      </c>
      <c r="E194">
        <f t="shared" si="25"/>
        <v>108</v>
      </c>
      <c r="F194" s="122">
        <v>108</v>
      </c>
      <c r="G194" s="123">
        <v>108</v>
      </c>
      <c r="H194" s="124">
        <v>2200123</v>
      </c>
      <c r="I194" s="125"/>
      <c r="J194" s="124" t="s">
        <v>792</v>
      </c>
      <c r="K194" s="124" t="s">
        <v>195</v>
      </c>
      <c r="L194" s="126"/>
      <c r="M194" s="126"/>
      <c r="N194" s="127" t="s">
        <v>138</v>
      </c>
      <c r="O194" s="128" t="s">
        <v>139</v>
      </c>
      <c r="P194" s="126" t="s">
        <v>122</v>
      </c>
      <c r="Q194" s="129" t="s">
        <v>793</v>
      </c>
      <c r="R194" s="130" t="s">
        <v>794</v>
      </c>
      <c r="S194" s="131" t="s">
        <v>125</v>
      </c>
      <c r="T194" s="132">
        <v>40269</v>
      </c>
      <c r="U194" s="133" t="s">
        <v>789</v>
      </c>
      <c r="V194" s="134" t="s">
        <v>790</v>
      </c>
      <c r="W194" s="118" t="s">
        <v>191</v>
      </c>
      <c r="X194" s="135">
        <v>2659104</v>
      </c>
      <c r="Y194" s="135">
        <v>2659104</v>
      </c>
      <c r="Z194" s="136">
        <v>1</v>
      </c>
      <c r="AA194" s="127"/>
      <c r="AB194" s="127"/>
      <c r="AC194" s="127" t="s">
        <v>129</v>
      </c>
      <c r="AD194" s="137" t="s">
        <v>146</v>
      </c>
      <c r="AE194" s="138"/>
      <c r="AF194" s="125"/>
      <c r="AG194" s="117" t="s">
        <v>131</v>
      </c>
      <c r="AH194" s="139" t="s">
        <v>132</v>
      </c>
      <c r="AJ194" s="179" t="s">
        <v>795</v>
      </c>
      <c r="AK194" s="120" t="s">
        <v>147</v>
      </c>
      <c r="AL194" s="140" t="str">
        <f>VLOOKUP(AK194,'[3]17見直し計画'!$A$50:$AJ$584,6,0)</f>
        <v>　見直し計画策定以降の新規案件</v>
      </c>
      <c r="AM194" s="140">
        <f>VLOOKUP(AK194,'[3]17見直し計画'!$A$50:$AJ$584,8,0)</f>
        <v>0</v>
      </c>
      <c r="AN194" s="180"/>
      <c r="AO194" s="141">
        <f>VLOOKUP(AK194,'[3]17見直し計画'!$A$50:$AJ$584,11,0)</f>
        <v>0</v>
      </c>
      <c r="AP194" s="140">
        <f>VLOOKUP(AK194,'[3]17見直し計画'!$A$50:$AJ$584,12,0)</f>
        <v>0</v>
      </c>
      <c r="AQ194" s="140">
        <f>VLOOKUP(AK194,'[3]17見直し計画'!$A$50:$AJ$584,13,0)</f>
        <v>0</v>
      </c>
      <c r="AR194" s="140">
        <f>VLOOKUP(AK194,'[3]17見直し計画'!$A$50:$AJ$584,14,0)</f>
        <v>0</v>
      </c>
      <c r="AS194" s="140"/>
      <c r="AT194" s="140">
        <f>VLOOKUP(AK194,'[3]17見直し計画'!$A$50:$AJ$584,35,0)</f>
        <v>0</v>
      </c>
      <c r="AU194" s="140">
        <f>VLOOKUP(AK194,'[3]17見直し計画'!$A$50:$AJ$584,36,0)</f>
        <v>0</v>
      </c>
    </row>
    <row r="195" spans="2:47" ht="105" hidden="1" customHeight="1">
      <c r="B195" s="126" t="s">
        <v>134</v>
      </c>
      <c r="C195" s="143" t="s">
        <v>135</v>
      </c>
      <c r="D195" s="143" t="s">
        <v>136</v>
      </c>
      <c r="E195">
        <f t="shared" si="25"/>
        <v>109</v>
      </c>
      <c r="F195" s="122">
        <v>109</v>
      </c>
      <c r="G195" s="123">
        <v>109</v>
      </c>
      <c r="H195" s="124">
        <v>2200125</v>
      </c>
      <c r="I195" s="125"/>
      <c r="J195" s="124" t="s">
        <v>796</v>
      </c>
      <c r="K195" s="124" t="s">
        <v>137</v>
      </c>
      <c r="L195" s="126"/>
      <c r="M195" s="126"/>
      <c r="N195" s="127" t="s">
        <v>138</v>
      </c>
      <c r="O195" s="128" t="s">
        <v>139</v>
      </c>
      <c r="P195" s="126" t="s">
        <v>122</v>
      </c>
      <c r="Q195" s="129" t="s">
        <v>797</v>
      </c>
      <c r="R195" s="130" t="s">
        <v>798</v>
      </c>
      <c r="S195" s="131" t="s">
        <v>125</v>
      </c>
      <c r="T195" s="132">
        <v>40269</v>
      </c>
      <c r="U195" s="133" t="s">
        <v>222</v>
      </c>
      <c r="V195" s="134" t="s">
        <v>333</v>
      </c>
      <c r="W195" s="118" t="s">
        <v>420</v>
      </c>
      <c r="X195" s="135">
        <v>2625000</v>
      </c>
      <c r="Y195" s="135">
        <v>2625000</v>
      </c>
      <c r="Z195" s="136">
        <v>1</v>
      </c>
      <c r="AA195" s="127"/>
      <c r="AB195" s="127"/>
      <c r="AC195" s="127" t="s">
        <v>129</v>
      </c>
      <c r="AD195" s="137" t="s">
        <v>146</v>
      </c>
      <c r="AE195" s="138"/>
      <c r="AF195" s="125"/>
      <c r="AG195" s="117" t="s">
        <v>131</v>
      </c>
      <c r="AH195" s="139" t="s">
        <v>132</v>
      </c>
      <c r="AJ195" s="179" t="s">
        <v>799</v>
      </c>
      <c r="AK195" s="120" t="s">
        <v>147</v>
      </c>
      <c r="AL195" s="140" t="str">
        <f>VLOOKUP(AK195,'[3]17見直し計画'!$A$50:$AJ$584,6,0)</f>
        <v>　見直し計画策定以降の新規案件</v>
      </c>
      <c r="AM195" s="140">
        <f>VLOOKUP(AK195,'[3]17見直し計画'!$A$50:$AJ$584,8,0)</f>
        <v>0</v>
      </c>
      <c r="AN195" s="180"/>
      <c r="AO195" s="141">
        <f>VLOOKUP(AK195,'[3]17見直し計画'!$A$50:$AJ$584,11,0)</f>
        <v>0</v>
      </c>
      <c r="AP195" s="140">
        <f>VLOOKUP(AK195,'[3]17見直し計画'!$A$50:$AJ$584,12,0)</f>
        <v>0</v>
      </c>
      <c r="AQ195" s="140">
        <f>VLOOKUP(AK195,'[3]17見直し計画'!$A$50:$AJ$584,13,0)</f>
        <v>0</v>
      </c>
      <c r="AR195" s="140">
        <f>VLOOKUP(AK195,'[3]17見直し計画'!$A$50:$AJ$584,14,0)</f>
        <v>0</v>
      </c>
      <c r="AS195" s="140"/>
      <c r="AT195" s="140">
        <f>VLOOKUP(AK195,'[3]17見直し計画'!$A$50:$AJ$584,35,0)</f>
        <v>0</v>
      </c>
      <c r="AU195" s="140">
        <f>VLOOKUP(AK195,'[3]17見直し計画'!$A$50:$AJ$584,36,0)</f>
        <v>0</v>
      </c>
    </row>
    <row r="196" spans="2:47" ht="105" hidden="1" customHeight="1">
      <c r="B196" s="126" t="s">
        <v>193</v>
      </c>
      <c r="C196" s="143" t="s">
        <v>135</v>
      </c>
      <c r="D196" s="143" t="s">
        <v>136</v>
      </c>
      <c r="E196">
        <f t="shared" si="25"/>
        <v>110</v>
      </c>
      <c r="F196" s="122">
        <v>110</v>
      </c>
      <c r="G196" s="123">
        <v>110</v>
      </c>
      <c r="H196" s="124">
        <v>2200154</v>
      </c>
      <c r="I196" s="125"/>
      <c r="J196" s="124" t="s">
        <v>800</v>
      </c>
      <c r="K196" s="124" t="s">
        <v>353</v>
      </c>
      <c r="L196" s="126"/>
      <c r="M196" s="126"/>
      <c r="N196" s="127" t="s">
        <v>138</v>
      </c>
      <c r="O196" s="128" t="s">
        <v>139</v>
      </c>
      <c r="P196" s="126" t="s">
        <v>122</v>
      </c>
      <c r="Q196" s="129" t="s">
        <v>801</v>
      </c>
      <c r="R196" s="130" t="s">
        <v>802</v>
      </c>
      <c r="S196" s="131" t="s">
        <v>125</v>
      </c>
      <c r="T196" s="132">
        <v>40269</v>
      </c>
      <c r="U196" s="133" t="s">
        <v>803</v>
      </c>
      <c r="V196" s="134" t="s">
        <v>804</v>
      </c>
      <c r="W196" s="118" t="s">
        <v>191</v>
      </c>
      <c r="X196" s="135">
        <v>2607948</v>
      </c>
      <c r="Y196" s="135">
        <v>2607948</v>
      </c>
      <c r="Z196" s="136">
        <v>1</v>
      </c>
      <c r="AA196" s="127"/>
      <c r="AB196" s="127"/>
      <c r="AC196" s="127" t="s">
        <v>129</v>
      </c>
      <c r="AD196" s="137" t="s">
        <v>146</v>
      </c>
      <c r="AE196" s="138"/>
      <c r="AF196" s="125"/>
      <c r="AG196" s="117" t="s">
        <v>131</v>
      </c>
      <c r="AH196" s="139" t="s">
        <v>132</v>
      </c>
      <c r="AJ196" s="120"/>
      <c r="AK196" s="120" t="s">
        <v>147</v>
      </c>
      <c r="AL196" s="140" t="str">
        <f>VLOOKUP(AK196,'[3]17見直し計画'!$A$50:$AJ$584,6,0)</f>
        <v>　見直し計画策定以降の新規案件</v>
      </c>
      <c r="AM196" s="140">
        <f>VLOOKUP(AK196,'[3]17見直し計画'!$A$50:$AJ$584,8,0)</f>
        <v>0</v>
      </c>
      <c r="AN196" s="180"/>
      <c r="AO196" s="141">
        <f>VLOOKUP(AK196,'[3]17見直し計画'!$A$50:$AJ$584,11,0)</f>
        <v>0</v>
      </c>
      <c r="AP196" s="140">
        <f>VLOOKUP(AK196,'[3]17見直し計画'!$A$50:$AJ$584,12,0)</f>
        <v>0</v>
      </c>
      <c r="AQ196" s="140">
        <f>VLOOKUP(AK196,'[3]17見直し計画'!$A$50:$AJ$584,13,0)</f>
        <v>0</v>
      </c>
      <c r="AR196" s="140">
        <f>VLOOKUP(AK196,'[3]17見直し計画'!$A$50:$AJ$584,14,0)</f>
        <v>0</v>
      </c>
      <c r="AS196" s="140"/>
      <c r="AT196" s="140">
        <f>VLOOKUP(AK196,'[3]17見直し計画'!$A$50:$AJ$584,35,0)</f>
        <v>0</v>
      </c>
      <c r="AU196" s="140">
        <f>VLOOKUP(AK196,'[3]17見直し計画'!$A$50:$AJ$584,36,0)</f>
        <v>0</v>
      </c>
    </row>
    <row r="197" spans="2:47" ht="105" hidden="1" customHeight="1">
      <c r="B197" s="143" t="s">
        <v>805</v>
      </c>
      <c r="C197" s="143" t="s">
        <v>255</v>
      </c>
      <c r="D197" s="143" t="s">
        <v>256</v>
      </c>
      <c r="E197">
        <f t="shared" si="25"/>
        <v>111</v>
      </c>
      <c r="F197" s="122">
        <v>111</v>
      </c>
      <c r="G197" s="123">
        <v>111</v>
      </c>
      <c r="H197" s="124">
        <v>2200045</v>
      </c>
      <c r="I197" s="125"/>
      <c r="J197" s="124" t="s">
        <v>806</v>
      </c>
      <c r="K197" s="124" t="s">
        <v>286</v>
      </c>
      <c r="L197" s="126"/>
      <c r="M197" s="126"/>
      <c r="N197" s="127" t="s">
        <v>138</v>
      </c>
      <c r="O197" s="128" t="s">
        <v>139</v>
      </c>
      <c r="P197" s="126" t="s">
        <v>122</v>
      </c>
      <c r="Q197" s="129" t="s">
        <v>807</v>
      </c>
      <c r="R197" s="130" t="s">
        <v>808</v>
      </c>
      <c r="S197" s="131" t="s">
        <v>125</v>
      </c>
      <c r="T197" s="132">
        <v>40269</v>
      </c>
      <c r="U197" s="133" t="s">
        <v>809</v>
      </c>
      <c r="V197" s="134" t="s">
        <v>810</v>
      </c>
      <c r="W197" s="118" t="s">
        <v>811</v>
      </c>
      <c r="X197" s="135">
        <v>2340876</v>
      </c>
      <c r="Y197" s="135">
        <v>2340876</v>
      </c>
      <c r="Z197" s="136">
        <v>1</v>
      </c>
      <c r="AA197" s="127"/>
      <c r="AB197" s="127"/>
      <c r="AC197" s="127" t="s">
        <v>129</v>
      </c>
      <c r="AD197" s="137" t="s">
        <v>146</v>
      </c>
      <c r="AE197" s="138"/>
      <c r="AF197" s="125"/>
      <c r="AG197" s="117" t="s">
        <v>131</v>
      </c>
      <c r="AH197" s="139" t="s">
        <v>132</v>
      </c>
      <c r="AJ197" s="120"/>
      <c r="AK197" s="120" t="s">
        <v>147</v>
      </c>
      <c r="AL197" s="140" t="str">
        <f>VLOOKUP(AK197,'[3]17見直し計画'!$A$50:$AJ$584,6,0)</f>
        <v>　見直し計画策定以降の新規案件</v>
      </c>
      <c r="AM197" s="140">
        <f>VLOOKUP(AK197,'[3]17見直し計画'!$A$50:$AJ$584,8,0)</f>
        <v>0</v>
      </c>
      <c r="AN197" s="180"/>
      <c r="AO197" s="141">
        <f>VLOOKUP(AK197,'[3]17見直し計画'!$A$50:$AJ$584,11,0)</f>
        <v>0</v>
      </c>
      <c r="AP197" s="140">
        <f>VLOOKUP(AK197,'[3]17見直し計画'!$A$50:$AJ$584,12,0)</f>
        <v>0</v>
      </c>
      <c r="AQ197" s="140">
        <f>VLOOKUP(AK197,'[3]17見直し計画'!$A$50:$AJ$584,13,0)</f>
        <v>0</v>
      </c>
      <c r="AR197" s="140">
        <f>VLOOKUP(AK197,'[3]17見直し計画'!$A$50:$AJ$584,14,0)</f>
        <v>0</v>
      </c>
      <c r="AS197" s="140"/>
      <c r="AT197" s="140">
        <f>VLOOKUP(AK197,'[3]17見直し計画'!$A$50:$AJ$584,35,0)</f>
        <v>0</v>
      </c>
      <c r="AU197" s="140">
        <f>VLOOKUP(AK197,'[3]17見直し計画'!$A$50:$AJ$584,36,0)</f>
        <v>0</v>
      </c>
    </row>
    <row r="198" spans="2:47" ht="105" hidden="1" customHeight="1">
      <c r="B198" s="126" t="s">
        <v>134</v>
      </c>
      <c r="C198" s="143" t="s">
        <v>135</v>
      </c>
      <c r="D198" s="143" t="s">
        <v>136</v>
      </c>
      <c r="E198">
        <f t="shared" si="25"/>
        <v>112</v>
      </c>
      <c r="F198" s="122">
        <v>112</v>
      </c>
      <c r="G198" s="123">
        <v>112</v>
      </c>
      <c r="H198" s="124">
        <v>2200104</v>
      </c>
      <c r="I198" s="125"/>
      <c r="J198" s="124" t="s">
        <v>812</v>
      </c>
      <c r="K198" s="124" t="s">
        <v>195</v>
      </c>
      <c r="L198" s="126"/>
      <c r="M198" s="126"/>
      <c r="N198" s="127" t="s">
        <v>138</v>
      </c>
      <c r="O198" s="128" t="s">
        <v>139</v>
      </c>
      <c r="P198" s="126" t="s">
        <v>122</v>
      </c>
      <c r="Q198" s="129" t="s">
        <v>813</v>
      </c>
      <c r="R198" s="130" t="s">
        <v>814</v>
      </c>
      <c r="S198" s="131" t="s">
        <v>125</v>
      </c>
      <c r="T198" s="132">
        <v>40269</v>
      </c>
      <c r="U198" s="133" t="s">
        <v>815</v>
      </c>
      <c r="V198" s="134" t="s">
        <v>816</v>
      </c>
      <c r="W198" s="118" t="s">
        <v>817</v>
      </c>
      <c r="X198" s="135">
        <v>2289000</v>
      </c>
      <c r="Y198" s="135">
        <v>2289000</v>
      </c>
      <c r="Z198" s="136">
        <v>1</v>
      </c>
      <c r="AA198" s="127"/>
      <c r="AB198" s="127"/>
      <c r="AC198" s="127" t="s">
        <v>129</v>
      </c>
      <c r="AD198" s="137" t="s">
        <v>146</v>
      </c>
      <c r="AE198" s="138"/>
      <c r="AF198" s="125"/>
      <c r="AG198" s="117" t="s">
        <v>131</v>
      </c>
      <c r="AH198" s="139" t="s">
        <v>132</v>
      </c>
      <c r="AJ198" s="120" t="s">
        <v>156</v>
      </c>
      <c r="AK198" s="120" t="s">
        <v>147</v>
      </c>
      <c r="AL198" s="140" t="str">
        <f>VLOOKUP(AK198,'[3]17見直し計画'!$A$50:$AJ$584,6,0)</f>
        <v>　見直し計画策定以降の新規案件</v>
      </c>
      <c r="AM198" s="140">
        <f>VLOOKUP(AK198,'[3]17見直し計画'!$A$50:$AJ$584,8,0)</f>
        <v>0</v>
      </c>
      <c r="AN198" s="180"/>
      <c r="AO198" s="141">
        <f>VLOOKUP(AK198,'[3]17見直し計画'!$A$50:$AJ$584,11,0)</f>
        <v>0</v>
      </c>
      <c r="AP198" s="140">
        <f>VLOOKUP(AK198,'[3]17見直し計画'!$A$50:$AJ$584,12,0)</f>
        <v>0</v>
      </c>
      <c r="AQ198" s="140">
        <f>VLOOKUP(AK198,'[3]17見直し計画'!$A$50:$AJ$584,13,0)</f>
        <v>0</v>
      </c>
      <c r="AR198" s="140">
        <f>VLOOKUP(AK198,'[3]17見直し計画'!$A$50:$AJ$584,14,0)</f>
        <v>0</v>
      </c>
      <c r="AS198" s="140"/>
      <c r="AT198" s="140">
        <f>VLOOKUP(AK198,'[3]17見直し計画'!$A$50:$AJ$584,35,0)</f>
        <v>0</v>
      </c>
      <c r="AU198" s="140">
        <f>VLOOKUP(AK198,'[3]17見直し計画'!$A$50:$AJ$584,36,0)</f>
        <v>0</v>
      </c>
    </row>
    <row r="199" spans="2:47" ht="105" hidden="1" customHeight="1">
      <c r="B199" s="126" t="s">
        <v>193</v>
      </c>
      <c r="C199" s="143" t="s">
        <v>135</v>
      </c>
      <c r="D199" s="143" t="s">
        <v>136</v>
      </c>
      <c r="E199">
        <f t="shared" si="25"/>
        <v>113</v>
      </c>
      <c r="F199" s="122">
        <v>113</v>
      </c>
      <c r="G199" s="123">
        <v>113</v>
      </c>
      <c r="H199" s="124">
        <v>2200136</v>
      </c>
      <c r="I199" s="125"/>
      <c r="J199" s="126" t="s">
        <v>818</v>
      </c>
      <c r="K199" s="124" t="s">
        <v>353</v>
      </c>
      <c r="L199" s="126"/>
      <c r="M199" s="126"/>
      <c r="N199" s="127" t="s">
        <v>138</v>
      </c>
      <c r="O199" s="128" t="s">
        <v>139</v>
      </c>
      <c r="P199" s="126" t="s">
        <v>122</v>
      </c>
      <c r="Q199" s="129" t="s">
        <v>819</v>
      </c>
      <c r="R199" s="130" t="s">
        <v>820</v>
      </c>
      <c r="S199" s="131" t="s">
        <v>125</v>
      </c>
      <c r="T199" s="132">
        <v>40269</v>
      </c>
      <c r="U199" s="133" t="s">
        <v>821</v>
      </c>
      <c r="V199" s="134" t="s">
        <v>822</v>
      </c>
      <c r="W199" s="118" t="s">
        <v>191</v>
      </c>
      <c r="X199" s="135">
        <v>2203860</v>
      </c>
      <c r="Y199" s="135">
        <v>2203860</v>
      </c>
      <c r="Z199" s="136">
        <v>1</v>
      </c>
      <c r="AA199" s="127"/>
      <c r="AB199" s="127"/>
      <c r="AC199" s="127" t="s">
        <v>129</v>
      </c>
      <c r="AD199" s="137" t="s">
        <v>146</v>
      </c>
      <c r="AE199" s="138"/>
      <c r="AF199" s="125"/>
      <c r="AG199" s="117" t="s">
        <v>131</v>
      </c>
      <c r="AH199" s="139" t="s">
        <v>132</v>
      </c>
      <c r="AJ199" s="179" t="s">
        <v>823</v>
      </c>
      <c r="AK199" s="120" t="s">
        <v>147</v>
      </c>
      <c r="AL199" s="140" t="str">
        <f>VLOOKUP(AK199,'[3]17見直し計画'!$A$50:$AJ$584,6,0)</f>
        <v>　見直し計画策定以降の新規案件</v>
      </c>
      <c r="AM199" s="140">
        <f>VLOOKUP(AK199,'[3]17見直し計画'!$A$50:$AJ$584,8,0)</f>
        <v>0</v>
      </c>
      <c r="AN199" s="180"/>
      <c r="AO199" s="141">
        <f>VLOOKUP(AK199,'[3]17見直し計画'!$A$50:$AJ$584,11,0)</f>
        <v>0</v>
      </c>
      <c r="AP199" s="140">
        <f>VLOOKUP(AK199,'[3]17見直し計画'!$A$50:$AJ$584,12,0)</f>
        <v>0</v>
      </c>
      <c r="AQ199" s="140">
        <f>VLOOKUP(AK199,'[3]17見直し計画'!$A$50:$AJ$584,13,0)</f>
        <v>0</v>
      </c>
      <c r="AR199" s="140">
        <f>VLOOKUP(AK199,'[3]17見直し計画'!$A$50:$AJ$584,14,0)</f>
        <v>0</v>
      </c>
      <c r="AS199" s="140"/>
      <c r="AT199" s="140">
        <f>VLOOKUP(AK199,'[3]17見直し計画'!$A$50:$AJ$584,35,0)</f>
        <v>0</v>
      </c>
      <c r="AU199" s="140">
        <f>VLOOKUP(AK199,'[3]17見直し計画'!$A$50:$AJ$584,36,0)</f>
        <v>0</v>
      </c>
    </row>
    <row r="200" spans="2:47" ht="105" customHeight="1">
      <c r="B200" s="143" t="s">
        <v>476</v>
      </c>
      <c r="C200" s="143" t="s">
        <v>550</v>
      </c>
      <c r="D200" s="143" t="s">
        <v>351</v>
      </c>
      <c r="E200">
        <f t="shared" si="25"/>
        <v>114</v>
      </c>
      <c r="F200" s="122">
        <v>114</v>
      </c>
      <c r="G200" s="123">
        <v>114</v>
      </c>
      <c r="H200" s="124">
        <v>2200256</v>
      </c>
      <c r="I200" s="125"/>
      <c r="J200" s="124" t="s">
        <v>824</v>
      </c>
      <c r="K200" s="124" t="s">
        <v>479</v>
      </c>
      <c r="L200" s="126"/>
      <c r="M200" s="126"/>
      <c r="N200" s="127" t="s">
        <v>138</v>
      </c>
      <c r="O200" s="128" t="s">
        <v>139</v>
      </c>
      <c r="P200" s="126" t="s">
        <v>122</v>
      </c>
      <c r="Q200" s="129" t="s">
        <v>825</v>
      </c>
      <c r="R200" s="130" t="s">
        <v>826</v>
      </c>
      <c r="S200" s="131" t="s">
        <v>125</v>
      </c>
      <c r="T200" s="132">
        <v>40269</v>
      </c>
      <c r="U200" s="133" t="s">
        <v>827</v>
      </c>
      <c r="V200" s="134" t="s">
        <v>828</v>
      </c>
      <c r="W200" s="118" t="s">
        <v>829</v>
      </c>
      <c r="X200" s="135">
        <v>2184000</v>
      </c>
      <c r="Y200" s="135">
        <v>2184000</v>
      </c>
      <c r="Z200" s="136">
        <v>1</v>
      </c>
      <c r="AA200" s="127"/>
      <c r="AB200" s="127"/>
      <c r="AC200" s="127" t="s">
        <v>129</v>
      </c>
      <c r="AD200" s="137" t="s">
        <v>146</v>
      </c>
      <c r="AE200" s="138"/>
      <c r="AF200" s="125"/>
      <c r="AG200" s="117" t="s">
        <v>131</v>
      </c>
      <c r="AH200" s="139" t="s">
        <v>132</v>
      </c>
      <c r="AJ200" s="120"/>
      <c r="AK200" s="120" t="s">
        <v>830</v>
      </c>
      <c r="AL200" s="140" t="str">
        <f>VLOOKUP(AK200,'[3]17見直し計画'!$A$50:$AJ$584,6,0)</f>
        <v>株式会社オクト</v>
      </c>
      <c r="AM200" s="140" t="str">
        <f>VLOOKUP(AK200,'[3]17見直し計画'!$A$50:$AJ$584,8,0)</f>
        <v>「沖縄担当大使宿舎」賃貸借契約</v>
      </c>
      <c r="AN200" s="180">
        <f>VLOOKUP(AK200,'[3]17見直し計画'!$A$50:$AJ$584,10,0)</f>
        <v>38443</v>
      </c>
      <c r="AO200" s="141">
        <f>VLOOKUP(AK200,'[3]17見直し計画'!$A$50:$AJ$584,11,0)</f>
        <v>2184000</v>
      </c>
      <c r="AP200" s="140" t="str">
        <f>VLOOKUP(AK200,'[3]17見直し計画'!$A$50:$AJ$584,12,0)</f>
        <v>契約目的に鑑み、本件契約相手先以外に履行可能な業者が無い（会計法第２９条の３第４項）。</v>
      </c>
      <c r="AQ200" s="140" t="str">
        <f>VLOOKUP(AK200,'[3]17見直し計画'!$A$50:$AJ$584,13,0)</f>
        <v>その他のもの</v>
      </c>
      <c r="AR200" s="140" t="str">
        <f>VLOOKUP(AK200,'[3]17見直し計画'!$A$50:$AJ$584,14,0)</f>
        <v>随意契約によらざるを得ないもの</v>
      </c>
      <c r="AS200" s="140"/>
      <c r="AT200" s="140" t="str">
        <f>VLOOKUP(AK200,'[3]17見直し計画'!$A$50:$AJ$584,35,0)</f>
        <v>場所が限定される賃貸借その他業務</v>
      </c>
      <c r="AU200" s="140" t="str">
        <f>VLOOKUP(AK200,'[3]17見直し計画'!$A$50:$AJ$584,36,0)</f>
        <v>ロ</v>
      </c>
    </row>
    <row r="201" spans="2:47" ht="105" hidden="1" customHeight="1">
      <c r="B201" s="126" t="s">
        <v>193</v>
      </c>
      <c r="C201" s="143" t="s">
        <v>135</v>
      </c>
      <c r="D201" s="143" t="s">
        <v>136</v>
      </c>
      <c r="E201">
        <f>SUM(E200+1)</f>
        <v>115</v>
      </c>
      <c r="F201" s="122">
        <v>115</v>
      </c>
      <c r="G201" s="123">
        <v>115</v>
      </c>
      <c r="H201" s="124">
        <v>2200164</v>
      </c>
      <c r="I201" s="125"/>
      <c r="J201" s="124" t="s">
        <v>831</v>
      </c>
      <c r="K201" s="124" t="s">
        <v>195</v>
      </c>
      <c r="L201" s="126"/>
      <c r="M201" s="126"/>
      <c r="N201" s="127" t="s">
        <v>138</v>
      </c>
      <c r="O201" s="128" t="s">
        <v>139</v>
      </c>
      <c r="P201" s="126" t="s">
        <v>122</v>
      </c>
      <c r="Q201" s="129" t="s">
        <v>832</v>
      </c>
      <c r="R201" s="130" t="s">
        <v>833</v>
      </c>
      <c r="S201" s="131" t="s">
        <v>125</v>
      </c>
      <c r="T201" s="132">
        <v>40269</v>
      </c>
      <c r="U201" s="133" t="s">
        <v>834</v>
      </c>
      <c r="V201" s="134" t="s">
        <v>835</v>
      </c>
      <c r="W201" s="118" t="s">
        <v>191</v>
      </c>
      <c r="X201" s="135">
        <v>2146800</v>
      </c>
      <c r="Y201" s="135">
        <v>2146800</v>
      </c>
      <c r="Z201" s="136">
        <v>1</v>
      </c>
      <c r="AA201" s="127"/>
      <c r="AB201" s="127"/>
      <c r="AC201" s="127" t="s">
        <v>129</v>
      </c>
      <c r="AD201" s="137" t="s">
        <v>146</v>
      </c>
      <c r="AE201" s="138"/>
      <c r="AF201" s="125"/>
      <c r="AG201" s="117" t="s">
        <v>131</v>
      </c>
      <c r="AH201" s="139" t="s">
        <v>132</v>
      </c>
      <c r="AI201" s="177"/>
      <c r="AJ201" s="120" t="s">
        <v>156</v>
      </c>
      <c r="AK201" s="120" t="s">
        <v>147</v>
      </c>
      <c r="AL201" s="140" t="str">
        <f>VLOOKUP(AK201,'[3]17見直し計画'!$A$50:$AJ$584,6,0)</f>
        <v>　見直し計画策定以降の新規案件</v>
      </c>
      <c r="AM201" s="140">
        <f>VLOOKUP(AK201,'[3]17見直し計画'!$A$50:$AJ$584,8,0)</f>
        <v>0</v>
      </c>
      <c r="AN201" s="180"/>
      <c r="AO201" s="141">
        <f>VLOOKUP(AK201,'[3]17見直し計画'!$A$50:$AJ$584,11,0)</f>
        <v>0</v>
      </c>
      <c r="AP201" s="140">
        <f>VLOOKUP(AK201,'[3]17見直し計画'!$A$50:$AJ$584,12,0)</f>
        <v>0</v>
      </c>
      <c r="AQ201" s="140">
        <f>VLOOKUP(AK201,'[3]17見直し計画'!$A$50:$AJ$584,13,0)</f>
        <v>0</v>
      </c>
      <c r="AR201" s="140">
        <f>VLOOKUP(AK201,'[3]17見直し計画'!$A$50:$AJ$584,14,0)</f>
        <v>0</v>
      </c>
      <c r="AS201" s="140"/>
      <c r="AT201" s="140">
        <f>VLOOKUP(AK201,'[3]17見直し計画'!$A$50:$AJ$584,35,0)</f>
        <v>0</v>
      </c>
      <c r="AU201" s="140">
        <f>VLOOKUP(AK201,'[3]17見直し計画'!$A$50:$AJ$584,36,0)</f>
        <v>0</v>
      </c>
    </row>
    <row r="202" spans="2:47" ht="105" hidden="1" customHeight="1">
      <c r="B202" s="126" t="s">
        <v>134</v>
      </c>
      <c r="C202" s="143" t="s">
        <v>135</v>
      </c>
      <c r="D202" s="143" t="s">
        <v>136</v>
      </c>
      <c r="E202">
        <f t="shared" si="25"/>
        <v>116</v>
      </c>
      <c r="F202" s="122">
        <v>116</v>
      </c>
      <c r="G202" s="123">
        <v>116</v>
      </c>
      <c r="H202" s="124">
        <v>2200319</v>
      </c>
      <c r="I202" s="125"/>
      <c r="J202" s="124" t="s">
        <v>836</v>
      </c>
      <c r="K202" s="124" t="s">
        <v>353</v>
      </c>
      <c r="L202" s="126"/>
      <c r="M202" s="126"/>
      <c r="N202" s="127" t="s">
        <v>138</v>
      </c>
      <c r="O202" s="128" t="s">
        <v>139</v>
      </c>
      <c r="P202" s="126" t="s">
        <v>122</v>
      </c>
      <c r="Q202" s="129" t="s">
        <v>837</v>
      </c>
      <c r="R202" s="130" t="s">
        <v>838</v>
      </c>
      <c r="S202" s="131" t="s">
        <v>125</v>
      </c>
      <c r="T202" s="132">
        <v>40269</v>
      </c>
      <c r="U202" s="133" t="s">
        <v>622</v>
      </c>
      <c r="V202" s="134" t="s">
        <v>623</v>
      </c>
      <c r="W202" s="118" t="s">
        <v>839</v>
      </c>
      <c r="X202" s="135">
        <v>2140425</v>
      </c>
      <c r="Y202" s="135">
        <v>2140425</v>
      </c>
      <c r="Z202" s="136">
        <v>1</v>
      </c>
      <c r="AA202" s="127"/>
      <c r="AB202" s="127"/>
      <c r="AC202" s="127" t="s">
        <v>129</v>
      </c>
      <c r="AD202" s="137" t="s">
        <v>146</v>
      </c>
      <c r="AE202" s="138"/>
      <c r="AF202" s="125"/>
      <c r="AG202" s="117" t="s">
        <v>131</v>
      </c>
      <c r="AH202" s="139" t="s">
        <v>132</v>
      </c>
      <c r="AJ202" s="179" t="s">
        <v>840</v>
      </c>
      <c r="AK202" s="120" t="s">
        <v>147</v>
      </c>
      <c r="AL202" s="140" t="str">
        <f>VLOOKUP(AK202,'[3]17見直し計画'!$A$50:$AJ$584,6,0)</f>
        <v>　見直し計画策定以降の新規案件</v>
      </c>
      <c r="AM202" s="140">
        <f>VLOOKUP(AK202,'[3]17見直し計画'!$A$50:$AJ$584,8,0)</f>
        <v>0</v>
      </c>
      <c r="AN202" s="180"/>
      <c r="AO202" s="141">
        <f>VLOOKUP(AK202,'[3]17見直し計画'!$A$50:$AJ$584,11,0)</f>
        <v>0</v>
      </c>
      <c r="AP202" s="140">
        <f>VLOOKUP(AK202,'[3]17見直し計画'!$A$50:$AJ$584,12,0)</f>
        <v>0</v>
      </c>
      <c r="AQ202" s="140">
        <f>VLOOKUP(AK202,'[3]17見直し計画'!$A$50:$AJ$584,13,0)</f>
        <v>0</v>
      </c>
      <c r="AR202" s="140">
        <f>VLOOKUP(AK202,'[3]17見直し計画'!$A$50:$AJ$584,14,0)</f>
        <v>0</v>
      </c>
      <c r="AS202" s="140"/>
      <c r="AT202" s="140">
        <f>VLOOKUP(AK202,'[3]17見直し計画'!$A$50:$AJ$584,35,0)</f>
        <v>0</v>
      </c>
      <c r="AU202" s="140">
        <f>VLOOKUP(AK202,'[3]17見直し計画'!$A$50:$AJ$584,36,0)</f>
        <v>0</v>
      </c>
    </row>
    <row r="203" spans="2:47" ht="105" hidden="1" customHeight="1">
      <c r="B203" s="126" t="s">
        <v>134</v>
      </c>
      <c r="C203" s="143" t="s">
        <v>135</v>
      </c>
      <c r="D203" s="143" t="s">
        <v>136</v>
      </c>
      <c r="E203">
        <f t="shared" si="25"/>
        <v>117</v>
      </c>
      <c r="F203" s="122">
        <v>117</v>
      </c>
      <c r="G203" s="123">
        <v>117</v>
      </c>
      <c r="H203" s="124">
        <v>2200183</v>
      </c>
      <c r="I203" s="125"/>
      <c r="J203" s="124" t="s">
        <v>841</v>
      </c>
      <c r="K203" s="124" t="s">
        <v>842</v>
      </c>
      <c r="L203" s="126"/>
      <c r="M203" s="126"/>
      <c r="N203" s="127" t="s">
        <v>138</v>
      </c>
      <c r="O203" s="128" t="s">
        <v>139</v>
      </c>
      <c r="P203" s="126" t="s">
        <v>122</v>
      </c>
      <c r="Q203" s="129" t="s">
        <v>843</v>
      </c>
      <c r="R203" s="130" t="s">
        <v>844</v>
      </c>
      <c r="S203" s="131" t="s">
        <v>125</v>
      </c>
      <c r="T203" s="132">
        <v>40269</v>
      </c>
      <c r="U203" s="133" t="s">
        <v>845</v>
      </c>
      <c r="V203" s="134" t="s">
        <v>270</v>
      </c>
      <c r="W203" s="118" t="s">
        <v>299</v>
      </c>
      <c r="X203" s="135">
        <v>2055936</v>
      </c>
      <c r="Y203" s="135">
        <v>2055936</v>
      </c>
      <c r="Z203" s="136">
        <v>1</v>
      </c>
      <c r="AA203" s="127"/>
      <c r="AB203" s="127"/>
      <c r="AC203" s="127" t="s">
        <v>129</v>
      </c>
      <c r="AD203" s="137" t="s">
        <v>146</v>
      </c>
      <c r="AE203" s="138"/>
      <c r="AF203" s="125"/>
      <c r="AG203" s="117" t="s">
        <v>131</v>
      </c>
      <c r="AH203" s="139" t="s">
        <v>132</v>
      </c>
      <c r="AJ203" s="179" t="s">
        <v>846</v>
      </c>
      <c r="AK203" s="120" t="s">
        <v>147</v>
      </c>
      <c r="AL203" s="140" t="str">
        <f>VLOOKUP(AK203,'[3]17見直し計画'!$A$50:$AJ$584,6,0)</f>
        <v>　見直し計画策定以降の新規案件</v>
      </c>
      <c r="AM203" s="140">
        <f>VLOOKUP(AK203,'[3]17見直し計画'!$A$50:$AJ$584,8,0)</f>
        <v>0</v>
      </c>
      <c r="AN203" s="180"/>
      <c r="AO203" s="141">
        <f>VLOOKUP(AK203,'[3]17見直し計画'!$A$50:$AJ$584,11,0)</f>
        <v>0</v>
      </c>
      <c r="AP203" s="140">
        <f>VLOOKUP(AK203,'[3]17見直し計画'!$A$50:$AJ$584,12,0)</f>
        <v>0</v>
      </c>
      <c r="AQ203" s="140">
        <f>VLOOKUP(AK203,'[3]17見直し計画'!$A$50:$AJ$584,13,0)</f>
        <v>0</v>
      </c>
      <c r="AR203" s="140">
        <f>VLOOKUP(AK203,'[3]17見直し計画'!$A$50:$AJ$584,14,0)</f>
        <v>0</v>
      </c>
      <c r="AS203" s="140"/>
      <c r="AT203" s="140">
        <f>VLOOKUP(AK203,'[3]17見直し計画'!$A$50:$AJ$584,35,0)</f>
        <v>0</v>
      </c>
      <c r="AU203" s="140">
        <f>VLOOKUP(AK203,'[3]17見直し計画'!$A$50:$AJ$584,36,0)</f>
        <v>0</v>
      </c>
    </row>
    <row r="204" spans="2:47" ht="105" hidden="1" customHeight="1">
      <c r="B204" s="126" t="s">
        <v>134</v>
      </c>
      <c r="C204" s="143" t="s">
        <v>135</v>
      </c>
      <c r="D204" s="143" t="s">
        <v>136</v>
      </c>
      <c r="E204">
        <f t="shared" si="25"/>
        <v>118</v>
      </c>
      <c r="F204" s="122">
        <v>118</v>
      </c>
      <c r="G204" s="123">
        <v>118</v>
      </c>
      <c r="H204" s="124">
        <v>2200105</v>
      </c>
      <c r="I204" s="125"/>
      <c r="J204" s="124" t="s">
        <v>847</v>
      </c>
      <c r="K204" s="124" t="s">
        <v>353</v>
      </c>
      <c r="L204" s="126"/>
      <c r="M204" s="126"/>
      <c r="N204" s="127" t="s">
        <v>138</v>
      </c>
      <c r="O204" s="128" t="s">
        <v>139</v>
      </c>
      <c r="P204" s="126" t="s">
        <v>122</v>
      </c>
      <c r="Q204" s="129" t="s">
        <v>848</v>
      </c>
      <c r="R204" s="130" t="s">
        <v>849</v>
      </c>
      <c r="S204" s="131" t="s">
        <v>125</v>
      </c>
      <c r="T204" s="132">
        <v>40269</v>
      </c>
      <c r="U204" s="133" t="s">
        <v>303</v>
      </c>
      <c r="V204" s="134" t="s">
        <v>304</v>
      </c>
      <c r="W204" s="118" t="s">
        <v>217</v>
      </c>
      <c r="X204" s="135">
        <v>2016000</v>
      </c>
      <c r="Y204" s="135">
        <v>2016000</v>
      </c>
      <c r="Z204" s="136">
        <v>1</v>
      </c>
      <c r="AA204" s="127"/>
      <c r="AB204" s="127"/>
      <c r="AC204" s="127" t="s">
        <v>129</v>
      </c>
      <c r="AD204" s="137" t="s">
        <v>146</v>
      </c>
      <c r="AE204" s="138"/>
      <c r="AF204" s="125"/>
      <c r="AG204" s="117" t="s">
        <v>131</v>
      </c>
      <c r="AH204" s="139" t="s">
        <v>132</v>
      </c>
      <c r="AJ204" s="120"/>
      <c r="AK204" s="120" t="s">
        <v>147</v>
      </c>
      <c r="AL204" s="140" t="str">
        <f>VLOOKUP(AK204,'[3]17見直し計画'!$A$50:$AJ$584,6,0)</f>
        <v>　見直し計画策定以降の新規案件</v>
      </c>
      <c r="AM204" s="140">
        <f>VLOOKUP(AK204,'[3]17見直し計画'!$A$50:$AJ$584,8,0)</f>
        <v>0</v>
      </c>
      <c r="AN204" s="180"/>
      <c r="AO204" s="141">
        <f>VLOOKUP(AK204,'[3]17見直し計画'!$A$50:$AJ$584,11,0)</f>
        <v>0</v>
      </c>
      <c r="AP204" s="140">
        <f>VLOOKUP(AK204,'[3]17見直し計画'!$A$50:$AJ$584,12,0)</f>
        <v>0</v>
      </c>
      <c r="AQ204" s="140">
        <f>VLOOKUP(AK204,'[3]17見直し計画'!$A$50:$AJ$584,13,0)</f>
        <v>0</v>
      </c>
      <c r="AR204" s="140">
        <f>VLOOKUP(AK204,'[3]17見直し計画'!$A$50:$AJ$584,14,0)</f>
        <v>0</v>
      </c>
      <c r="AS204" s="140"/>
      <c r="AT204" s="140">
        <f>VLOOKUP(AK204,'[3]17見直し計画'!$A$50:$AJ$584,35,0)</f>
        <v>0</v>
      </c>
      <c r="AU204" s="140">
        <f>VLOOKUP(AK204,'[3]17見直し計画'!$A$50:$AJ$584,36,0)</f>
        <v>0</v>
      </c>
    </row>
    <row r="205" spans="2:47" ht="105" hidden="1" customHeight="1">
      <c r="B205" s="126" t="s">
        <v>184</v>
      </c>
      <c r="C205" s="143" t="s">
        <v>135</v>
      </c>
      <c r="D205" s="143" t="s">
        <v>136</v>
      </c>
      <c r="E205">
        <f t="shared" si="25"/>
        <v>119</v>
      </c>
      <c r="F205" s="122">
        <v>119</v>
      </c>
      <c r="G205" s="123">
        <v>119</v>
      </c>
      <c r="H205" s="124">
        <v>2200084</v>
      </c>
      <c r="I205" s="125"/>
      <c r="J205" s="126" t="s">
        <v>850</v>
      </c>
      <c r="K205" s="124" t="s">
        <v>137</v>
      </c>
      <c r="L205" s="126"/>
      <c r="M205" s="126"/>
      <c r="N205" s="127" t="s">
        <v>186</v>
      </c>
      <c r="O205" s="128" t="s">
        <v>187</v>
      </c>
      <c r="P205" s="126" t="s">
        <v>122</v>
      </c>
      <c r="Q205" s="129" t="s">
        <v>851</v>
      </c>
      <c r="R205" s="130" t="s">
        <v>526</v>
      </c>
      <c r="S205" s="131" t="s">
        <v>125</v>
      </c>
      <c r="T205" s="132">
        <v>40269</v>
      </c>
      <c r="U205" s="133" t="s">
        <v>190</v>
      </c>
      <c r="V205" s="134" t="s">
        <v>143</v>
      </c>
      <c r="W205" s="118" t="s">
        <v>191</v>
      </c>
      <c r="X205" s="135">
        <v>1919882</v>
      </c>
      <c r="Y205" s="135">
        <v>1919882</v>
      </c>
      <c r="Z205" s="136">
        <v>1</v>
      </c>
      <c r="AA205" s="127"/>
      <c r="AB205" s="127"/>
      <c r="AC205" s="127" t="s">
        <v>129</v>
      </c>
      <c r="AD205" s="137" t="s">
        <v>192</v>
      </c>
      <c r="AE205" s="138"/>
      <c r="AF205" s="125"/>
      <c r="AG205" s="117" t="s">
        <v>131</v>
      </c>
      <c r="AH205" s="139" t="s">
        <v>132</v>
      </c>
      <c r="AJ205" s="120"/>
      <c r="AK205" s="120" t="s">
        <v>147</v>
      </c>
      <c r="AL205" s="140" t="str">
        <f>VLOOKUP(AK205,'[3]17見直し計画'!$A$50:$AJ$584,6,0)</f>
        <v>　見直し計画策定以降の新規案件</v>
      </c>
      <c r="AM205" s="140">
        <f>VLOOKUP(AK205,'[3]17見直し計画'!$A$50:$AJ$584,8,0)</f>
        <v>0</v>
      </c>
      <c r="AN205" s="180"/>
      <c r="AO205" s="141">
        <f>VLOOKUP(AK205,'[3]17見直し計画'!$A$50:$AJ$584,11,0)</f>
        <v>0</v>
      </c>
      <c r="AP205" s="140">
        <f>VLOOKUP(AK205,'[3]17見直し計画'!$A$50:$AJ$584,12,0)</f>
        <v>0</v>
      </c>
      <c r="AQ205" s="140">
        <f>VLOOKUP(AK205,'[3]17見直し計画'!$A$50:$AJ$584,13,0)</f>
        <v>0</v>
      </c>
      <c r="AR205" s="140">
        <f>VLOOKUP(AK205,'[3]17見直し計画'!$A$50:$AJ$584,14,0)</f>
        <v>0</v>
      </c>
      <c r="AS205" s="140"/>
      <c r="AT205" s="140">
        <f>VLOOKUP(AK205,'[3]17見直し計画'!$A$50:$AJ$584,35,0)</f>
        <v>0</v>
      </c>
      <c r="AU205" s="140">
        <f>VLOOKUP(AK205,'[3]17見直し計画'!$A$50:$AJ$584,36,0)</f>
        <v>0</v>
      </c>
    </row>
    <row r="206" spans="2:47" ht="105" customHeight="1">
      <c r="B206" s="143" t="s">
        <v>549</v>
      </c>
      <c r="C206" s="143" t="s">
        <v>550</v>
      </c>
      <c r="D206" s="143" t="s">
        <v>351</v>
      </c>
      <c r="E206">
        <f t="shared" si="25"/>
        <v>120</v>
      </c>
      <c r="F206" s="122">
        <v>120</v>
      </c>
      <c r="G206" s="123">
        <v>120</v>
      </c>
      <c r="H206" s="124">
        <v>2200239</v>
      </c>
      <c r="I206" s="125"/>
      <c r="J206" s="124" t="s">
        <v>852</v>
      </c>
      <c r="K206" s="124" t="s">
        <v>640</v>
      </c>
      <c r="L206" s="126"/>
      <c r="M206" s="126"/>
      <c r="N206" s="127" t="s">
        <v>138</v>
      </c>
      <c r="O206" s="128" t="s">
        <v>139</v>
      </c>
      <c r="P206" s="126" t="s">
        <v>122</v>
      </c>
      <c r="Q206" s="129" t="s">
        <v>853</v>
      </c>
      <c r="R206" s="130" t="s">
        <v>854</v>
      </c>
      <c r="S206" s="131" t="s">
        <v>125</v>
      </c>
      <c r="T206" s="132">
        <v>40269</v>
      </c>
      <c r="U206" s="133" t="s">
        <v>855</v>
      </c>
      <c r="V206" s="134" t="s">
        <v>856</v>
      </c>
      <c r="W206" s="118" t="s">
        <v>563</v>
      </c>
      <c r="X206" s="135">
        <v>1905120</v>
      </c>
      <c r="Y206" s="135">
        <v>1905120</v>
      </c>
      <c r="Z206" s="136">
        <v>1</v>
      </c>
      <c r="AA206" s="127"/>
      <c r="AB206" s="127"/>
      <c r="AC206" s="127" t="s">
        <v>129</v>
      </c>
      <c r="AD206" s="137" t="s">
        <v>146</v>
      </c>
      <c r="AE206" s="138"/>
      <c r="AF206" s="125"/>
      <c r="AG206" s="117" t="s">
        <v>131</v>
      </c>
      <c r="AH206" s="139" t="s">
        <v>132</v>
      </c>
      <c r="AJ206" s="120"/>
      <c r="AK206" s="120" t="s">
        <v>857</v>
      </c>
      <c r="AL206" s="140" t="str">
        <f>VLOOKUP(AK206,'[3]17見直し計画'!$A$50:$AJ$584,6,0)</f>
        <v xml:space="preserve">LEXIS-NEXIS </v>
      </c>
      <c r="AM206" s="140" t="str">
        <f>VLOOKUP(AK206,'[3]17見直し計画'!$A$50:$AJ$584,8,0)</f>
        <v>「Ｌｅｘｉｓ Ｎｅｘｉｓオンライン情報サービス」契約</v>
      </c>
      <c r="AN206" s="180">
        <f>VLOOKUP(AK206,'[3]17見直し計画'!$A$50:$AJ$584,10,0)</f>
        <v>38443</v>
      </c>
      <c r="AO206" s="141">
        <f>VLOOKUP(AK206,'[3]17見直し計画'!$A$50:$AJ$584,11,0)</f>
        <v>1540800</v>
      </c>
      <c r="AP206" s="140" t="str">
        <f>VLOOKUP(AK206,'[3]17見直し計画'!$A$50:$AJ$584,12,0)</f>
        <v>本件データベースサービスの運用・提供を行う会社との契約であり、他に競争を許さない（会計法第２９条の３第４項）。</v>
      </c>
      <c r="AQ206" s="140" t="str">
        <f>VLOOKUP(AK206,'[3]17見直し計画'!$A$50:$AJ$584,13,0)</f>
        <v>その他のもの</v>
      </c>
      <c r="AR206" s="140" t="str">
        <f>VLOOKUP(AK206,'[3]17見直し計画'!$A$50:$AJ$584,14,0)</f>
        <v>随意契約によらざるを得ないもの</v>
      </c>
      <c r="AS206" s="140"/>
      <c r="AT206" s="140" t="str">
        <f>VLOOKUP(AK206,'[3]17見直し計画'!$A$50:$AJ$584,35,0)</f>
        <v>行政目的を達成するために不可欠な情報の提供</v>
      </c>
      <c r="AU206" s="140" t="str">
        <f>VLOOKUP(AK206,'[3]17見直し計画'!$A$50:$AJ$584,36,0)</f>
        <v>ニ（ヘ）</v>
      </c>
    </row>
    <row r="207" spans="2:47" ht="105" customHeight="1">
      <c r="B207" s="143" t="s">
        <v>549</v>
      </c>
      <c r="C207" s="143" t="s">
        <v>550</v>
      </c>
      <c r="D207" s="143" t="s">
        <v>351</v>
      </c>
      <c r="E207">
        <f t="shared" si="25"/>
        <v>121</v>
      </c>
      <c r="F207" s="122">
        <v>121</v>
      </c>
      <c r="G207" s="123">
        <v>121</v>
      </c>
      <c r="H207" s="124">
        <v>2200465</v>
      </c>
      <c r="I207" s="125"/>
      <c r="J207" s="124" t="s">
        <v>858</v>
      </c>
      <c r="K207" s="124" t="s">
        <v>859</v>
      </c>
      <c r="L207" s="126"/>
      <c r="M207" s="126"/>
      <c r="N207" s="127" t="s">
        <v>138</v>
      </c>
      <c r="O207" s="128" t="s">
        <v>139</v>
      </c>
      <c r="P207" s="126" t="s">
        <v>122</v>
      </c>
      <c r="Q207" s="129" t="s">
        <v>860</v>
      </c>
      <c r="R207" s="130" t="s">
        <v>861</v>
      </c>
      <c r="S207" s="131" t="s">
        <v>125</v>
      </c>
      <c r="T207" s="132">
        <v>40269</v>
      </c>
      <c r="U207" s="133" t="s">
        <v>862</v>
      </c>
      <c r="V207" s="134" t="s">
        <v>863</v>
      </c>
      <c r="W207" s="118" t="s">
        <v>726</v>
      </c>
      <c r="X207" s="135">
        <v>1823959</v>
      </c>
      <c r="Y207" s="135">
        <v>1823850</v>
      </c>
      <c r="Z207" s="136">
        <v>0.999</v>
      </c>
      <c r="AA207" s="127"/>
      <c r="AB207" s="127"/>
      <c r="AC207" s="127" t="s">
        <v>129</v>
      </c>
      <c r="AD207" s="137" t="s">
        <v>146</v>
      </c>
      <c r="AE207" s="138"/>
      <c r="AF207" s="125"/>
      <c r="AG207" s="117" t="s">
        <v>131</v>
      </c>
      <c r="AH207" s="139" t="s">
        <v>132</v>
      </c>
      <c r="AJ207" s="120"/>
      <c r="AK207" s="120" t="s">
        <v>864</v>
      </c>
      <c r="AL207" s="140" t="str">
        <f>VLOOKUP(AK207,'[3]17見直し計画'!$A$50:$AJ$584,6,0)</f>
        <v>レイデンリサーチ株式会社</v>
      </c>
      <c r="AM207" s="140" t="str">
        <f>VLOOKUP(AK207,'[3]17見直し計画'!$A$50:$AJ$584,8,0)</f>
        <v>ＥＩＵ社発行「Ｃｏｕｎｔｒｙ Ｒｅｐｏｒｔ ＆ Ｐｒｏｆｉｌｅｓ」及び「Ｃｏｕｎｔｒｙ Ｆｏｒｅｃａｓｔ Ｒｅｇｉｏｎａｌ Overview」購読契約</v>
      </c>
      <c r="AN207" s="180">
        <f>VLOOKUP(AK207,'[3]17見直し計画'!$A$50:$AJ$584,10,0)</f>
        <v>38443</v>
      </c>
      <c r="AO207" s="141">
        <f>VLOOKUP(AK207,'[3]17見直し計画'!$A$50:$AJ$584,11,0)</f>
        <v>1871100</v>
      </c>
      <c r="AP207" s="140" t="str">
        <f>VLOOKUP(AK207,'[3]17見直し計画'!$A$50:$AJ$584,12,0)</f>
        <v>同社が開設しているウェブ・サイト上の情報にアクセスするための契約であり、他に競争を許さない（会計法第２９条の３第４項）。</v>
      </c>
      <c r="AQ207" s="140" t="str">
        <f>VLOOKUP(AK207,'[3]17見直し計画'!$A$50:$AJ$584,13,0)</f>
        <v>その他のもの</v>
      </c>
      <c r="AR207" s="140" t="str">
        <f>VLOOKUP(AK207,'[3]17見直し計画'!$A$50:$AJ$584,14,0)</f>
        <v>随意契約によらざるを得ないもの</v>
      </c>
      <c r="AS207" s="140"/>
      <c r="AT207" s="140" t="str">
        <f>VLOOKUP(AK207,'[3]17見直し計画'!$A$50:$AJ$584,35,0)</f>
        <v>行政目的を達成するために不可欠な情報の提供</v>
      </c>
      <c r="AU207" s="140" t="str">
        <f>VLOOKUP(AK207,'[3]17見直し計画'!$A$50:$AJ$584,36,0)</f>
        <v>ニ（ヘ）</v>
      </c>
    </row>
    <row r="208" spans="2:47" ht="105" hidden="1" customHeight="1">
      <c r="B208" s="126" t="s">
        <v>134</v>
      </c>
      <c r="C208" s="143" t="s">
        <v>135</v>
      </c>
      <c r="D208" s="143" t="s">
        <v>136</v>
      </c>
      <c r="E208">
        <f>SUM(E207+1)</f>
        <v>122</v>
      </c>
      <c r="F208" s="122">
        <v>122</v>
      </c>
      <c r="G208" s="123">
        <v>122</v>
      </c>
      <c r="H208" s="124">
        <v>2200113</v>
      </c>
      <c r="I208" s="125"/>
      <c r="J208" s="124" t="s">
        <v>865</v>
      </c>
      <c r="K208" s="124" t="s">
        <v>866</v>
      </c>
      <c r="L208" s="126"/>
      <c r="M208" s="126"/>
      <c r="N208" s="127" t="s">
        <v>138</v>
      </c>
      <c r="O208" s="128" t="s">
        <v>139</v>
      </c>
      <c r="P208" s="126" t="s">
        <v>122</v>
      </c>
      <c r="Q208" s="129" t="s">
        <v>867</v>
      </c>
      <c r="R208" s="130" t="s">
        <v>868</v>
      </c>
      <c r="S208" s="131" t="s">
        <v>125</v>
      </c>
      <c r="T208" s="132">
        <v>40269</v>
      </c>
      <c r="U208" s="133" t="s">
        <v>869</v>
      </c>
      <c r="V208" s="134" t="s">
        <v>870</v>
      </c>
      <c r="W208" s="118" t="s">
        <v>871</v>
      </c>
      <c r="X208" s="135">
        <v>1811102</v>
      </c>
      <c r="Y208" s="135">
        <v>1811102</v>
      </c>
      <c r="Z208" s="136">
        <v>1</v>
      </c>
      <c r="AA208" s="127"/>
      <c r="AB208" s="127"/>
      <c r="AC208" s="127" t="s">
        <v>129</v>
      </c>
      <c r="AD208" s="137" t="s">
        <v>146</v>
      </c>
      <c r="AE208" s="138"/>
      <c r="AF208" s="125"/>
      <c r="AG208" s="117" t="s">
        <v>131</v>
      </c>
      <c r="AH208" s="139" t="s">
        <v>132</v>
      </c>
      <c r="AJ208" s="179" t="s">
        <v>872</v>
      </c>
      <c r="AK208" s="120" t="s">
        <v>147</v>
      </c>
      <c r="AL208" s="140" t="str">
        <f>VLOOKUP(AK208,'[3]17見直し計画'!$A$50:$AJ$584,6,0)</f>
        <v>　見直し計画策定以降の新規案件</v>
      </c>
      <c r="AM208" s="140">
        <f>VLOOKUP(AK208,'[3]17見直し計画'!$A$50:$AJ$584,8,0)</f>
        <v>0</v>
      </c>
      <c r="AN208" s="180"/>
      <c r="AO208" s="141">
        <f>VLOOKUP(AK208,'[3]17見直し計画'!$A$50:$AJ$584,11,0)</f>
        <v>0</v>
      </c>
      <c r="AP208" s="140">
        <f>VLOOKUP(AK208,'[3]17見直し計画'!$A$50:$AJ$584,12,0)</f>
        <v>0</v>
      </c>
      <c r="AQ208" s="140">
        <f>VLOOKUP(AK208,'[3]17見直し計画'!$A$50:$AJ$584,13,0)</f>
        <v>0</v>
      </c>
      <c r="AR208" s="140">
        <f>VLOOKUP(AK208,'[3]17見直し計画'!$A$50:$AJ$584,14,0)</f>
        <v>0</v>
      </c>
      <c r="AS208" s="140"/>
      <c r="AT208" s="140">
        <f>VLOOKUP(AK208,'[3]17見直し計画'!$A$50:$AJ$584,35,0)</f>
        <v>0</v>
      </c>
      <c r="AU208" s="140">
        <f>VLOOKUP(AK208,'[3]17見直し計画'!$A$50:$AJ$584,36,0)</f>
        <v>0</v>
      </c>
    </row>
    <row r="209" spans="1:48" ht="105" hidden="1" customHeight="1">
      <c r="B209" s="182"/>
      <c r="C209" s="182"/>
      <c r="D209" s="223" t="s">
        <v>873</v>
      </c>
      <c r="E209" s="184">
        <f t="shared" si="25"/>
        <v>123</v>
      </c>
      <c r="F209" s="185">
        <v>123</v>
      </c>
      <c r="G209" s="186">
        <v>123</v>
      </c>
      <c r="H209" s="187">
        <v>2200098</v>
      </c>
      <c r="I209" s="188"/>
      <c r="J209" s="187" t="s">
        <v>874</v>
      </c>
      <c r="K209" s="187" t="s">
        <v>875</v>
      </c>
      <c r="L209" s="189"/>
      <c r="M209" s="189"/>
      <c r="N209" s="190" t="s">
        <v>230</v>
      </c>
      <c r="O209" s="191" t="s">
        <v>139</v>
      </c>
      <c r="P209" s="189" t="s">
        <v>231</v>
      </c>
      <c r="Q209" s="192" t="s">
        <v>876</v>
      </c>
      <c r="R209" s="193" t="s">
        <v>877</v>
      </c>
      <c r="S209" s="194" t="s">
        <v>125</v>
      </c>
      <c r="T209" s="195">
        <v>40269</v>
      </c>
      <c r="U209" s="196" t="s">
        <v>878</v>
      </c>
      <c r="V209" s="197" t="s">
        <v>879</v>
      </c>
      <c r="W209" s="181" t="s">
        <v>236</v>
      </c>
      <c r="X209" s="198">
        <v>1746000</v>
      </c>
      <c r="Y209" s="198">
        <v>1738800</v>
      </c>
      <c r="Z209" s="199">
        <v>0.995</v>
      </c>
      <c r="AA209" s="190"/>
      <c r="AB209" s="190"/>
      <c r="AC209" s="190">
        <v>8</v>
      </c>
      <c r="AD209" s="200" t="s">
        <v>237</v>
      </c>
      <c r="AE209" s="201"/>
      <c r="AF209" s="188"/>
      <c r="AG209" s="202" t="s">
        <v>131</v>
      </c>
      <c r="AH209" s="203" t="s">
        <v>238</v>
      </c>
      <c r="AI209" s="184"/>
      <c r="AJ209" s="182"/>
      <c r="AK209" s="182" t="s">
        <v>147</v>
      </c>
      <c r="AL209" s="204" t="str">
        <f>VLOOKUP(AK209,'[3]17見直し計画'!$A$50:$AJ$584,6,0)</f>
        <v>　見直し計画策定以降の新規案件</v>
      </c>
      <c r="AM209" s="204">
        <f>VLOOKUP(AK209,'[3]17見直し計画'!$A$50:$AJ$584,8,0)</f>
        <v>0</v>
      </c>
      <c r="AN209" s="224"/>
      <c r="AO209" s="205">
        <f>VLOOKUP(AK209,'[3]17見直し計画'!$A$50:$AJ$584,11,0)</f>
        <v>0</v>
      </c>
      <c r="AP209" s="204">
        <f>VLOOKUP(AK209,'[3]17見直し計画'!$A$50:$AJ$584,12,0)</f>
        <v>0</v>
      </c>
      <c r="AQ209" s="204">
        <f>VLOOKUP(AK209,'[3]17見直し計画'!$A$50:$AJ$584,13,0)</f>
        <v>0</v>
      </c>
      <c r="AR209" s="204">
        <f>VLOOKUP(AK209,'[3]17見直し計画'!$A$50:$AJ$584,14,0)</f>
        <v>0</v>
      </c>
      <c r="AS209" s="204"/>
      <c r="AT209" s="204">
        <f>VLOOKUP(AK209,'[3]17見直し計画'!$A$50:$AJ$584,35,0)</f>
        <v>0</v>
      </c>
      <c r="AU209" s="204">
        <f>VLOOKUP(AK209,'[3]17見直し計画'!$A$50:$AJ$584,36,0)</f>
        <v>0</v>
      </c>
    </row>
    <row r="210" spans="1:48" ht="105" hidden="1" customHeight="1">
      <c r="B210" s="143" t="s">
        <v>678</v>
      </c>
      <c r="C210" s="143" t="s">
        <v>255</v>
      </c>
      <c r="D210" s="143" t="s">
        <v>256</v>
      </c>
      <c r="E210">
        <f t="shared" si="25"/>
        <v>124</v>
      </c>
      <c r="F210" s="122">
        <v>124</v>
      </c>
      <c r="G210" s="123">
        <v>124</v>
      </c>
      <c r="H210" s="124">
        <v>2200325</v>
      </c>
      <c r="I210" s="125"/>
      <c r="J210" s="124" t="s">
        <v>880</v>
      </c>
      <c r="K210" s="124" t="s">
        <v>137</v>
      </c>
      <c r="L210" s="126"/>
      <c r="M210" s="126"/>
      <c r="N210" s="127" t="s">
        <v>138</v>
      </c>
      <c r="O210" s="128" t="s">
        <v>139</v>
      </c>
      <c r="P210" s="126" t="s">
        <v>122</v>
      </c>
      <c r="Q210" s="129" t="s">
        <v>881</v>
      </c>
      <c r="R210" s="130" t="s">
        <v>882</v>
      </c>
      <c r="S210" s="131" t="s">
        <v>125</v>
      </c>
      <c r="T210" s="132">
        <v>40269</v>
      </c>
      <c r="U210" s="133" t="s">
        <v>222</v>
      </c>
      <c r="V210" s="134" t="s">
        <v>333</v>
      </c>
      <c r="W210" s="118" t="s">
        <v>883</v>
      </c>
      <c r="X210" s="135">
        <v>1738800</v>
      </c>
      <c r="Y210" s="135">
        <v>1738800</v>
      </c>
      <c r="Z210" s="136">
        <v>1</v>
      </c>
      <c r="AA210" s="127"/>
      <c r="AB210" s="127"/>
      <c r="AC210" s="127" t="s">
        <v>129</v>
      </c>
      <c r="AD210" s="137" t="s">
        <v>146</v>
      </c>
      <c r="AE210" s="138"/>
      <c r="AF210" s="125"/>
      <c r="AG210" s="117" t="s">
        <v>131</v>
      </c>
      <c r="AH210" s="139" t="s">
        <v>132</v>
      </c>
      <c r="AJ210" s="179" t="s">
        <v>884</v>
      </c>
      <c r="AK210" s="120" t="s">
        <v>147</v>
      </c>
      <c r="AL210" s="140" t="str">
        <f>VLOOKUP(AK210,'[3]17見直し計画'!$A$50:$AJ$584,6,0)</f>
        <v>　見直し計画策定以降の新規案件</v>
      </c>
      <c r="AM210" s="140">
        <f>VLOOKUP(AK210,'[3]17見直し計画'!$A$50:$AJ$584,8,0)</f>
        <v>0</v>
      </c>
      <c r="AN210" s="180"/>
      <c r="AO210" s="141">
        <f>VLOOKUP(AK210,'[3]17見直し計画'!$A$50:$AJ$584,11,0)</f>
        <v>0</v>
      </c>
      <c r="AP210" s="140">
        <f>VLOOKUP(AK210,'[3]17見直し計画'!$A$50:$AJ$584,12,0)</f>
        <v>0</v>
      </c>
      <c r="AQ210" s="140">
        <f>VLOOKUP(AK210,'[3]17見直し計画'!$A$50:$AJ$584,13,0)</f>
        <v>0</v>
      </c>
      <c r="AR210" s="140">
        <f>VLOOKUP(AK210,'[3]17見直し計画'!$A$50:$AJ$584,14,0)</f>
        <v>0</v>
      </c>
      <c r="AS210" s="140"/>
      <c r="AT210" s="140">
        <f>VLOOKUP(AK210,'[3]17見直し計画'!$A$50:$AJ$584,35,0)</f>
        <v>0</v>
      </c>
      <c r="AU210" s="140">
        <f>VLOOKUP(AK210,'[3]17見直し計画'!$A$50:$AJ$584,36,0)</f>
        <v>0</v>
      </c>
    </row>
    <row r="211" spans="1:48" ht="105" hidden="1" customHeight="1">
      <c r="B211" s="126" t="s">
        <v>218</v>
      </c>
      <c r="C211" s="143" t="s">
        <v>135</v>
      </c>
      <c r="D211" s="143" t="s">
        <v>136</v>
      </c>
      <c r="E211">
        <f t="shared" si="25"/>
        <v>125</v>
      </c>
      <c r="F211" s="122">
        <v>125</v>
      </c>
      <c r="G211" s="123">
        <v>125</v>
      </c>
      <c r="H211" s="124">
        <v>2200521</v>
      </c>
      <c r="I211" s="125"/>
      <c r="J211" s="124">
        <v>22</v>
      </c>
      <c r="K211" s="124" t="s">
        <v>479</v>
      </c>
      <c r="L211" s="126"/>
      <c r="M211" s="126"/>
      <c r="N211" s="127" t="s">
        <v>138</v>
      </c>
      <c r="O211" s="128" t="s">
        <v>139</v>
      </c>
      <c r="P211" s="126" t="s">
        <v>122</v>
      </c>
      <c r="Q211" s="129" t="s">
        <v>885</v>
      </c>
      <c r="R211" s="130" t="s">
        <v>886</v>
      </c>
      <c r="S211" s="131" t="s">
        <v>125</v>
      </c>
      <c r="T211" s="132">
        <v>40269</v>
      </c>
      <c r="U211" s="133" t="s">
        <v>887</v>
      </c>
      <c r="V211" s="134" t="s">
        <v>888</v>
      </c>
      <c r="W211" s="118" t="s">
        <v>889</v>
      </c>
      <c r="X211" s="135">
        <v>1669500</v>
      </c>
      <c r="Y211" s="135">
        <v>1669500</v>
      </c>
      <c r="Z211" s="136">
        <v>1</v>
      </c>
      <c r="AA211" s="127"/>
      <c r="AB211" s="127"/>
      <c r="AC211" s="127" t="s">
        <v>129</v>
      </c>
      <c r="AD211" s="137" t="s">
        <v>146</v>
      </c>
      <c r="AE211" s="138"/>
      <c r="AF211" s="125"/>
      <c r="AG211" s="117" t="s">
        <v>131</v>
      </c>
      <c r="AH211" s="139" t="s">
        <v>132</v>
      </c>
      <c r="AI211" s="177"/>
      <c r="AJ211" s="120"/>
      <c r="AK211" s="120" t="s">
        <v>890</v>
      </c>
      <c r="AL211" s="140" t="str">
        <f>VLOOKUP(AK211,'[3]17見直し計画'!$A$50:$AJ$584,6,0)</f>
        <v>綜警常駐警備株式会社</v>
      </c>
      <c r="AM211" s="140" t="str">
        <f>VLOOKUP(AK211,'[3]17見直し計画'!$A$50:$AJ$584,8,0)</f>
        <v>沖縄事務所警備委嘱契約</v>
      </c>
      <c r="AN211" s="180">
        <f>VLOOKUP(AK211,'[3]17見直し計画'!$A$50:$AJ$584,10,0)</f>
        <v>38443</v>
      </c>
      <c r="AO211" s="141">
        <f>VLOOKUP(AK211,'[3]17見直し計画'!$A$50:$AJ$584,11,0)</f>
        <v>5544000</v>
      </c>
      <c r="AP211" s="140" t="str">
        <f>VLOOKUP(AK211,'[3]17見直し計画'!$A$50:$AJ$584,12,0)</f>
        <v>同事務所には契約相手先の警備システムが配備されており、技術的な理由及び連携を考慮すれば、同社との契約が最も有効であることから他に競争を許さない（会計法第２９条の３第４項）。</v>
      </c>
      <c r="AQ211" s="140" t="str">
        <f>VLOOKUP(AK211,'[3]17見直し計画'!$A$50:$AJ$584,13,0)</f>
        <v>見直しの余地があるもの</v>
      </c>
      <c r="AR211" s="140" t="str">
        <f>VLOOKUP(AK211,'[3]17見直し計画'!$A$50:$AJ$584,14,0)</f>
        <v>競争入札に移行（平成１９年度より実施）</v>
      </c>
      <c r="AS211" s="140"/>
      <c r="AT211" s="140">
        <f>VLOOKUP(AK211,'[3]17見直し計画'!$A$50:$AJ$584,35,0)</f>
        <v>0</v>
      </c>
      <c r="AU211" s="140">
        <f>VLOOKUP(AK211,'[3]17見直し計画'!$A$50:$AJ$584,36,0)</f>
        <v>0</v>
      </c>
    </row>
    <row r="212" spans="1:48" ht="105" hidden="1" customHeight="1">
      <c r="B212" s="126" t="s">
        <v>134</v>
      </c>
      <c r="C212" s="143" t="s">
        <v>135</v>
      </c>
      <c r="D212" s="143" t="s">
        <v>136</v>
      </c>
      <c r="E212">
        <f t="shared" si="25"/>
        <v>126</v>
      </c>
      <c r="F212" s="122">
        <v>126</v>
      </c>
      <c r="G212" s="123">
        <v>126</v>
      </c>
      <c r="H212" s="124">
        <v>2200165</v>
      </c>
      <c r="I212" s="125"/>
      <c r="J212" s="124" t="s">
        <v>891</v>
      </c>
      <c r="K212" s="124" t="s">
        <v>195</v>
      </c>
      <c r="L212" s="126"/>
      <c r="M212" s="126"/>
      <c r="N212" s="127" t="s">
        <v>138</v>
      </c>
      <c r="O212" s="128" t="s">
        <v>139</v>
      </c>
      <c r="P212" s="126" t="s">
        <v>122</v>
      </c>
      <c r="Q212" s="129" t="s">
        <v>892</v>
      </c>
      <c r="R212" s="130" t="s">
        <v>893</v>
      </c>
      <c r="S212" s="131" t="s">
        <v>125</v>
      </c>
      <c r="T212" s="132">
        <v>40269</v>
      </c>
      <c r="U212" s="133" t="s">
        <v>222</v>
      </c>
      <c r="V212" s="134" t="s">
        <v>223</v>
      </c>
      <c r="W212" s="118" t="s">
        <v>894</v>
      </c>
      <c r="X212" s="135">
        <v>1607880</v>
      </c>
      <c r="Y212" s="135">
        <v>1607880</v>
      </c>
      <c r="Z212" s="136">
        <v>1</v>
      </c>
      <c r="AA212" s="127"/>
      <c r="AB212" s="127"/>
      <c r="AC212" s="127" t="s">
        <v>129</v>
      </c>
      <c r="AD212" s="137" t="s">
        <v>146</v>
      </c>
      <c r="AE212" s="138"/>
      <c r="AF212" s="125"/>
      <c r="AG212" s="117" t="s">
        <v>131</v>
      </c>
      <c r="AH212" s="139" t="s">
        <v>132</v>
      </c>
      <c r="AJ212" s="120"/>
      <c r="AK212" s="120" t="s">
        <v>147</v>
      </c>
      <c r="AL212" s="140" t="str">
        <f>VLOOKUP(AK212,'[3]17見直し計画'!$A$50:$AJ$584,6,0)</f>
        <v>　見直し計画策定以降の新規案件</v>
      </c>
      <c r="AM212" s="140">
        <f>VLOOKUP(AK212,'[3]17見直し計画'!$A$50:$AJ$584,8,0)</f>
        <v>0</v>
      </c>
      <c r="AN212" s="180"/>
      <c r="AO212" s="141">
        <f>VLOOKUP(AK212,'[3]17見直し計画'!$A$50:$AJ$584,11,0)</f>
        <v>0</v>
      </c>
      <c r="AP212" s="140">
        <f>VLOOKUP(AK212,'[3]17見直し計画'!$A$50:$AJ$584,12,0)</f>
        <v>0</v>
      </c>
      <c r="AQ212" s="140">
        <f>VLOOKUP(AK212,'[3]17見直し計画'!$A$50:$AJ$584,13,0)</f>
        <v>0</v>
      </c>
      <c r="AR212" s="140">
        <f>VLOOKUP(AK212,'[3]17見直し計画'!$A$50:$AJ$584,14,0)</f>
        <v>0</v>
      </c>
      <c r="AS212" s="140"/>
      <c r="AT212" s="140">
        <f>VLOOKUP(AK212,'[3]17見直し計画'!$A$50:$AJ$584,35,0)</f>
        <v>0</v>
      </c>
      <c r="AU212" s="140">
        <f>VLOOKUP(AK212,'[3]17見直し計画'!$A$50:$AJ$584,36,0)</f>
        <v>0</v>
      </c>
      <c r="AV212" s="229"/>
    </row>
    <row r="213" spans="1:48" ht="105" hidden="1" customHeight="1">
      <c r="B213" s="143" t="s">
        <v>320</v>
      </c>
      <c r="C213" s="222" t="s">
        <v>255</v>
      </c>
      <c r="D213" s="143" t="s">
        <v>256</v>
      </c>
      <c r="E213">
        <f t="shared" si="25"/>
        <v>127</v>
      </c>
      <c r="F213" s="122">
        <v>127</v>
      </c>
      <c r="G213" s="123">
        <v>127</v>
      </c>
      <c r="H213" s="124">
        <v>2200148</v>
      </c>
      <c r="I213" s="125"/>
      <c r="J213" s="124" t="s">
        <v>895</v>
      </c>
      <c r="K213" s="124" t="s">
        <v>195</v>
      </c>
      <c r="L213" s="126"/>
      <c r="M213" s="126"/>
      <c r="N213" s="127" t="s">
        <v>138</v>
      </c>
      <c r="O213" s="128" t="s">
        <v>139</v>
      </c>
      <c r="P213" s="126" t="s">
        <v>122</v>
      </c>
      <c r="Q213" s="129" t="s">
        <v>896</v>
      </c>
      <c r="R213" s="130" t="s">
        <v>897</v>
      </c>
      <c r="S213" s="131" t="s">
        <v>125</v>
      </c>
      <c r="T213" s="132">
        <v>40269</v>
      </c>
      <c r="U213" s="133" t="s">
        <v>898</v>
      </c>
      <c r="V213" s="134" t="s">
        <v>899</v>
      </c>
      <c r="W213" s="118" t="s">
        <v>191</v>
      </c>
      <c r="X213" s="135">
        <v>1413720</v>
      </c>
      <c r="Y213" s="135">
        <v>1413720</v>
      </c>
      <c r="Z213" s="136">
        <v>1</v>
      </c>
      <c r="AA213" s="127"/>
      <c r="AB213" s="127"/>
      <c r="AC213" s="127" t="s">
        <v>129</v>
      </c>
      <c r="AD213" s="137" t="s">
        <v>146</v>
      </c>
      <c r="AE213" s="138"/>
      <c r="AF213" s="125"/>
      <c r="AG213" s="117" t="s">
        <v>131</v>
      </c>
      <c r="AH213" s="139" t="s">
        <v>132</v>
      </c>
      <c r="AJ213" s="179" t="s">
        <v>900</v>
      </c>
      <c r="AK213" s="120" t="s">
        <v>147</v>
      </c>
      <c r="AL213" s="140" t="str">
        <f>VLOOKUP(AK213,'[3]17見直し計画'!$A$50:$AJ$584,6,0)</f>
        <v>　見直し計画策定以降の新規案件</v>
      </c>
      <c r="AM213" s="140">
        <f>VLOOKUP(AK213,'[3]17見直し計画'!$A$50:$AJ$584,8,0)</f>
        <v>0</v>
      </c>
      <c r="AN213" s="180"/>
      <c r="AO213" s="141">
        <f>VLOOKUP(AK213,'[3]17見直し計画'!$A$50:$AJ$584,11,0)</f>
        <v>0</v>
      </c>
      <c r="AP213" s="140">
        <f>VLOOKUP(AK213,'[3]17見直し計画'!$A$50:$AJ$584,12,0)</f>
        <v>0</v>
      </c>
      <c r="AQ213" s="140">
        <f>VLOOKUP(AK213,'[3]17見直し計画'!$A$50:$AJ$584,13,0)</f>
        <v>0</v>
      </c>
      <c r="AR213" s="140">
        <f>VLOOKUP(AK213,'[3]17見直し計画'!$A$50:$AJ$584,14,0)</f>
        <v>0</v>
      </c>
      <c r="AS213" s="140"/>
      <c r="AT213" s="140">
        <f>VLOOKUP(AK213,'[3]17見直し計画'!$A$50:$AJ$584,35,0)</f>
        <v>0</v>
      </c>
      <c r="AU213" s="140">
        <f>VLOOKUP(AK213,'[3]17見直し計画'!$A$50:$AJ$584,36,0)</f>
        <v>0</v>
      </c>
    </row>
    <row r="214" spans="1:48" ht="105" hidden="1" customHeight="1">
      <c r="A214" t="s">
        <v>633</v>
      </c>
      <c r="B214" s="126" t="s">
        <v>149</v>
      </c>
      <c r="C214" s="222" t="s">
        <v>135</v>
      </c>
      <c r="D214" s="143" t="s">
        <v>136</v>
      </c>
      <c r="E214">
        <f t="shared" si="25"/>
        <v>128</v>
      </c>
      <c r="F214" s="122">
        <v>128</v>
      </c>
      <c r="G214" s="123">
        <v>128</v>
      </c>
      <c r="H214" s="124">
        <v>2200203</v>
      </c>
      <c r="I214" s="125"/>
      <c r="J214" s="124" t="s">
        <v>901</v>
      </c>
      <c r="K214" s="124" t="s">
        <v>195</v>
      </c>
      <c r="L214" s="126"/>
      <c r="M214" s="126"/>
      <c r="N214" s="127" t="s">
        <v>138</v>
      </c>
      <c r="O214" s="128" t="s">
        <v>139</v>
      </c>
      <c r="P214" s="126" t="s">
        <v>122</v>
      </c>
      <c r="Q214" s="129" t="s">
        <v>902</v>
      </c>
      <c r="R214" s="130" t="s">
        <v>903</v>
      </c>
      <c r="S214" s="131" t="s">
        <v>125</v>
      </c>
      <c r="T214" s="132">
        <v>40269</v>
      </c>
      <c r="U214" s="133" t="s">
        <v>514</v>
      </c>
      <c r="V214" s="134" t="s">
        <v>515</v>
      </c>
      <c r="W214" s="118" t="s">
        <v>155</v>
      </c>
      <c r="X214" s="135">
        <v>1277310</v>
      </c>
      <c r="Y214" s="135">
        <v>1277310</v>
      </c>
      <c r="Z214" s="136">
        <v>1</v>
      </c>
      <c r="AA214" s="127"/>
      <c r="AB214" s="127"/>
      <c r="AC214" s="127" t="s">
        <v>129</v>
      </c>
      <c r="AD214" s="137" t="s">
        <v>146</v>
      </c>
      <c r="AE214" s="138"/>
      <c r="AF214" s="125"/>
      <c r="AG214" s="117" t="s">
        <v>131</v>
      </c>
      <c r="AH214" s="139" t="s">
        <v>132</v>
      </c>
      <c r="AJ214" s="179" t="s">
        <v>904</v>
      </c>
      <c r="AK214" s="120" t="s">
        <v>905</v>
      </c>
      <c r="AL214" s="140" t="str">
        <f>VLOOKUP(AK214,'[3]17見直し計画'!$A$50:$AJ$584,6,0)</f>
        <v>日立キャピタル株式会社</v>
      </c>
      <c r="AM214" s="140" t="str">
        <f>VLOOKUP(AK214,'[3]17見直し計画'!$A$50:$AJ$584,8,0)</f>
        <v>「人事計画用情報管理機器」借料</v>
      </c>
      <c r="AN214" s="180">
        <f>VLOOKUP(AK214,'[3]17見直し計画'!$A$50:$AJ$584,10,0)</f>
        <v>38443</v>
      </c>
      <c r="AO214" s="141">
        <f>VLOOKUP(AK214,'[3]17見直し計画'!$A$50:$AJ$584,11,0)</f>
        <v>7779240</v>
      </c>
      <c r="AP214" s="140" t="str">
        <f>VLOOKUP(AK214,'[3]17見直し計画'!$A$50:$AJ$584,12,0)</f>
        <v>システムの開発業者が、自社製品やカスタマイズされた独自の機器、システムを使用しているため、その保守・運用・改修等を行えるのは当該業者以外になく、他に競争を許さない（会計法第２９条の３第４項）。</v>
      </c>
      <c r="AQ214" s="140" t="str">
        <f>VLOOKUP(AK214,'[3]17見直し計画'!$A$50:$AJ$584,13,0)</f>
        <v>見直しの余地があるもの</v>
      </c>
      <c r="AR214" s="140" t="str">
        <f>VLOOKUP(AK214,'[3]17見直し計画'!$A$50:$AJ$584,14,0)</f>
        <v>競争入札もしくは企画招請に移行(平成２１年を目処)</v>
      </c>
      <c r="AS214" s="140"/>
      <c r="AT214" s="140" t="str">
        <f>VLOOKUP(AK214,'[3]17見直し計画'!$A$50:$AJ$584,35,0)</f>
        <v>当該機器は複数年のリース契約終了後も一定期間は業務上の使用に耐えられるところ、経費節約の観点から新システムへの移行までの間、新規調達に比べ割安であるリース契約の再延長をおこなっており、他に競争を許さないため移行が困難。</v>
      </c>
      <c r="AU214" s="140" t="str">
        <f>VLOOKUP(AK214,'[3]17見直し計画'!$A$50:$AJ$584,36,0)</f>
        <v>平成21年度中に新システムへの移行を検討し、平成22年度に一般競争入札または企画競争を実施する予定。</v>
      </c>
      <c r="AV214" t="s">
        <v>148</v>
      </c>
    </row>
    <row r="215" spans="1:48" ht="105" hidden="1" customHeight="1">
      <c r="B215" s="182"/>
      <c r="C215" s="182"/>
      <c r="D215" s="223" t="s">
        <v>159</v>
      </c>
      <c r="E215" s="184">
        <f t="shared" si="25"/>
        <v>129</v>
      </c>
      <c r="F215" s="185">
        <v>129</v>
      </c>
      <c r="G215" s="186">
        <v>129</v>
      </c>
      <c r="H215" s="187">
        <v>2200204</v>
      </c>
      <c r="I215" s="188"/>
      <c r="J215" s="187" t="s">
        <v>906</v>
      </c>
      <c r="K215" s="187" t="s">
        <v>661</v>
      </c>
      <c r="L215" s="189"/>
      <c r="M215" s="189"/>
      <c r="N215" s="190" t="s">
        <v>277</v>
      </c>
      <c r="O215" s="191" t="s">
        <v>121</v>
      </c>
      <c r="P215" s="189" t="s">
        <v>231</v>
      </c>
      <c r="Q215" s="192" t="s">
        <v>907</v>
      </c>
      <c r="R215" s="193" t="s">
        <v>908</v>
      </c>
      <c r="S215" s="194" t="s">
        <v>125</v>
      </c>
      <c r="T215" s="195">
        <v>40269</v>
      </c>
      <c r="U215" s="196" t="s">
        <v>280</v>
      </c>
      <c r="V215" s="197" t="s">
        <v>281</v>
      </c>
      <c r="W215" s="181" t="s">
        <v>236</v>
      </c>
      <c r="X215" s="198">
        <v>1383000</v>
      </c>
      <c r="Y215" s="198">
        <v>1260000</v>
      </c>
      <c r="Z215" s="199">
        <v>0.91100000000000003</v>
      </c>
      <c r="AA215" s="190">
        <v>1</v>
      </c>
      <c r="AB215" s="190"/>
      <c r="AC215" s="190">
        <v>1</v>
      </c>
      <c r="AD215" s="200" t="s">
        <v>283</v>
      </c>
      <c r="AE215" s="201"/>
      <c r="AF215" s="188"/>
      <c r="AG215" s="202" t="s">
        <v>131</v>
      </c>
      <c r="AH215" s="203" t="s">
        <v>171</v>
      </c>
      <c r="AI215" s="184"/>
      <c r="AJ215" s="230"/>
      <c r="AK215" s="230" t="s">
        <v>909</v>
      </c>
      <c r="AL215" s="204" t="str">
        <f>VLOOKUP(AK215,'[3]17見直し計画'!$A$50:$AJ$584,6,0)</f>
        <v>財団法人　
ラヂオプレス</v>
      </c>
      <c r="AM215" s="204" t="str">
        <f>VLOOKUP(AK215,'[3]17見直し計画'!$A$50:$AJ$584,8,0)</f>
        <v>「北方領土情報」資料作成</v>
      </c>
      <c r="AN215" s="224" t="str">
        <f>VLOOKUP(AK215,'[3]17見直し計画'!$A$50:$AJ$584,10,0)</f>
        <v>平成17/04/01</v>
      </c>
      <c r="AO215" s="205">
        <f>VLOOKUP(AK215,'[3]17見直し計画'!$A$50:$AJ$584,11,0)</f>
        <v>1250965</v>
      </c>
      <c r="AP215" s="204" t="str">
        <f>VLOOKUP(AK215,'[3]17見直し計画'!$A$50:$AJ$584,12,0)</f>
        <v>ＲＰは、高いロシア語能力を有する人材を豊富に擁し、新聞、雑誌等の翻訳にも卓越しているのみならず、ソ連時代からの情報・知識・経験の蓄積もあり、本件契約先として適切であると同時に、本件事業を実施するのに必要な公開情報の２４時間モニタリングを行う我が国唯一の機関であることから、本件契約先としてＲＰ以外の選択肢はない（会計法第２９条の３第４項）。</v>
      </c>
      <c r="AQ215" s="204" t="str">
        <f>VLOOKUP(AK215,'[3]17見直し計画'!$A$50:$AJ$584,13,0)</f>
        <v>見直しの余地があるもの</v>
      </c>
      <c r="AR215" s="204" t="str">
        <f>VLOOKUP(AK215,'[3]17見直し計画'!$A$50:$AJ$584,14,0)</f>
        <v>一般競争入札等に移行するための準備に時間を要するもの（１９年度以降において企画招請実施）</v>
      </c>
      <c r="AS215" s="204"/>
      <c r="AT215" s="204">
        <f>VLOOKUP(AK215,'[3]17見直し計画'!$A$50:$AJ$584,35,0)</f>
        <v>0</v>
      </c>
      <c r="AU215" s="204">
        <f>VLOOKUP(AK215,'[3]17見直し計画'!$A$50:$AJ$584,36,0)</f>
        <v>0</v>
      </c>
    </row>
    <row r="216" spans="1:48" ht="105" hidden="1" customHeight="1">
      <c r="B216" s="182"/>
      <c r="C216" s="182"/>
      <c r="D216" s="223" t="s">
        <v>227</v>
      </c>
      <c r="E216" s="184">
        <f t="shared" si="25"/>
        <v>130</v>
      </c>
      <c r="F216" s="185">
        <v>130</v>
      </c>
      <c r="G216" s="186">
        <v>130</v>
      </c>
      <c r="H216" s="187">
        <v>2200169</v>
      </c>
      <c r="I216" s="188"/>
      <c r="J216" s="187" t="s">
        <v>910</v>
      </c>
      <c r="K216" s="187" t="s">
        <v>626</v>
      </c>
      <c r="L216" s="189"/>
      <c r="M216" s="189"/>
      <c r="N216" s="190" t="s">
        <v>911</v>
      </c>
      <c r="O216" s="191" t="s">
        <v>688</v>
      </c>
      <c r="P216" s="189" t="s">
        <v>231</v>
      </c>
      <c r="Q216" s="192" t="s">
        <v>912</v>
      </c>
      <c r="R216" s="193" t="s">
        <v>913</v>
      </c>
      <c r="S216" s="194" t="s">
        <v>125</v>
      </c>
      <c r="T216" s="195">
        <v>40269</v>
      </c>
      <c r="U216" s="196" t="s">
        <v>914</v>
      </c>
      <c r="V216" s="197" t="s">
        <v>692</v>
      </c>
      <c r="W216" s="181" t="s">
        <v>236</v>
      </c>
      <c r="X216" s="198">
        <v>1264200</v>
      </c>
      <c r="Y216" s="198">
        <v>1258320</v>
      </c>
      <c r="Z216" s="199">
        <v>0.995</v>
      </c>
      <c r="AA216" s="190"/>
      <c r="AB216" s="190"/>
      <c r="AC216" s="190">
        <v>1</v>
      </c>
      <c r="AD216" s="200" t="s">
        <v>915</v>
      </c>
      <c r="AE216" s="201"/>
      <c r="AF216" s="188"/>
      <c r="AG216" s="202" t="s">
        <v>131</v>
      </c>
      <c r="AH216" s="203" t="s">
        <v>171</v>
      </c>
      <c r="AI216" s="184"/>
      <c r="AJ216" s="182"/>
      <c r="AK216" s="182" t="s">
        <v>632</v>
      </c>
      <c r="AL216" s="231" t="str">
        <f>VLOOKUP(AK216,'[3]17見直し計画'!$A$50:$AJ$584,6,0)</f>
        <v>財団法人日本システム開発研究所</v>
      </c>
      <c r="AM216" s="204" t="str">
        <f>VLOOKUP(AK216,'[3]17見直し計画'!$A$50:$AJ$584,8,0)</f>
        <v>「外交関係報道対策に係る調査・分析」業務委嘱</v>
      </c>
      <c r="AN216" s="224">
        <f>VLOOKUP(AK216,'[3]17見直し計画'!$A$50:$AJ$584,10,0)</f>
        <v>38644</v>
      </c>
      <c r="AO216" s="205">
        <f>VLOOKUP(AK216,'[3]17見直し計画'!$A$50:$AJ$584,11,0)</f>
        <v>2520000</v>
      </c>
      <c r="AP216" s="204" t="str">
        <f>VLOOKUP(AK216,'[3]17見直し計画'!$A$50:$AJ$584,12,0)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16" s="204" t="str">
        <f>VLOOKUP(AK216,'[3]17見直し計画'!$A$50:$AJ$584,13,0)</f>
        <v>見直しの余地があるもの</v>
      </c>
      <c r="AR216" s="204" t="str">
        <f>VLOOKUP(AK216,'[3]17見直し計画'!$A$50:$AJ$584,14,0)</f>
        <v>企画招請を実施（１８年度以降も引き続き実施）</v>
      </c>
      <c r="AS216" s="204"/>
      <c r="AT216" s="204">
        <f>VLOOKUP(AK216,'[3]17見直し計画'!$A$50:$AJ$584,35,0)</f>
        <v>0</v>
      </c>
      <c r="AU216" s="204">
        <f>VLOOKUP(AK216,'[3]17見直し計画'!$A$50:$AJ$584,36,0)</f>
        <v>0</v>
      </c>
    </row>
    <row r="217" spans="1:48" ht="105" hidden="1" customHeight="1">
      <c r="B217" s="143" t="s">
        <v>805</v>
      </c>
      <c r="C217" s="222" t="s">
        <v>255</v>
      </c>
      <c r="D217" s="143" t="s">
        <v>256</v>
      </c>
      <c r="E217">
        <f t="shared" ref="E217:E230" si="26">SUM(E216+1)</f>
        <v>131</v>
      </c>
      <c r="F217" s="122">
        <v>131</v>
      </c>
      <c r="G217" s="123">
        <v>131</v>
      </c>
      <c r="H217" s="124">
        <v>2200279</v>
      </c>
      <c r="I217" s="125"/>
      <c r="J217" s="124" t="s">
        <v>916</v>
      </c>
      <c r="K217" s="124" t="s">
        <v>433</v>
      </c>
      <c r="L217" s="126"/>
      <c r="M217" s="126"/>
      <c r="N217" s="127" t="s">
        <v>138</v>
      </c>
      <c r="O217" s="128" t="s">
        <v>139</v>
      </c>
      <c r="P217" s="126" t="s">
        <v>122</v>
      </c>
      <c r="Q217" s="129" t="s">
        <v>917</v>
      </c>
      <c r="R217" s="130" t="s">
        <v>918</v>
      </c>
      <c r="S217" s="131" t="s">
        <v>125</v>
      </c>
      <c r="T217" s="132">
        <v>40269</v>
      </c>
      <c r="U217" s="133" t="s">
        <v>919</v>
      </c>
      <c r="V217" s="134" t="s">
        <v>920</v>
      </c>
      <c r="W217" s="118" t="s">
        <v>563</v>
      </c>
      <c r="X217" s="135">
        <v>1248660</v>
      </c>
      <c r="Y217" s="135">
        <v>1248660</v>
      </c>
      <c r="Z217" s="136">
        <v>1</v>
      </c>
      <c r="AA217" s="127"/>
      <c r="AB217" s="127"/>
      <c r="AC217" s="127" t="s">
        <v>129</v>
      </c>
      <c r="AD217" s="137" t="s">
        <v>146</v>
      </c>
      <c r="AE217" s="138"/>
      <c r="AF217" s="125"/>
      <c r="AG217" s="117" t="s">
        <v>131</v>
      </c>
      <c r="AH217" s="139" t="s">
        <v>132</v>
      </c>
      <c r="AJ217" s="217" t="s">
        <v>921</v>
      </c>
      <c r="AK217" s="178" t="s">
        <v>147</v>
      </c>
      <c r="AL217" s="232" t="str">
        <f>VLOOKUP(AK217,'[3]17見直し計画'!$A$50:$AJ$584,6,0)</f>
        <v>　見直し計画策定以降の新規案件</v>
      </c>
      <c r="AM217" s="140">
        <f>VLOOKUP(AK217,'[3]17見直し計画'!$A$50:$AJ$584,8,0)</f>
        <v>0</v>
      </c>
      <c r="AN217" s="180"/>
      <c r="AO217" s="141">
        <f>VLOOKUP(AK217,'[3]17見直し計画'!$A$50:$AJ$584,11,0)</f>
        <v>0</v>
      </c>
      <c r="AP217" s="140">
        <f>VLOOKUP(AK217,'[3]17見直し計画'!$A$50:$AJ$584,12,0)</f>
        <v>0</v>
      </c>
      <c r="AQ217" s="140">
        <f>VLOOKUP(AK217,'[3]17見直し計画'!$A$50:$AJ$584,13,0)</f>
        <v>0</v>
      </c>
      <c r="AR217" s="140">
        <f>VLOOKUP(AK217,'[3]17見直し計画'!$A$50:$AJ$584,14,0)</f>
        <v>0</v>
      </c>
      <c r="AS217" s="140"/>
      <c r="AT217" s="140">
        <f>VLOOKUP(AK217,'[3]17見直し計画'!$A$50:$AJ$584,35,0)</f>
        <v>0</v>
      </c>
      <c r="AU217" s="140">
        <f>VLOOKUP(AK217,'[3]17見直し計画'!$A$50:$AJ$584,36,0)</f>
        <v>0</v>
      </c>
    </row>
    <row r="218" spans="1:48" ht="105" hidden="1" customHeight="1">
      <c r="B218" s="126" t="s">
        <v>134</v>
      </c>
      <c r="C218" s="222" t="s">
        <v>135</v>
      </c>
      <c r="D218" s="143" t="s">
        <v>136</v>
      </c>
      <c r="E218">
        <f t="shared" si="26"/>
        <v>132</v>
      </c>
      <c r="F218" s="122">
        <v>132</v>
      </c>
      <c r="G218" s="123">
        <v>132</v>
      </c>
      <c r="H218" s="124">
        <v>2200124</v>
      </c>
      <c r="I218" s="125"/>
      <c r="J218" s="124" t="s">
        <v>922</v>
      </c>
      <c r="K218" s="124" t="s">
        <v>195</v>
      </c>
      <c r="L218" s="126"/>
      <c r="M218" s="126"/>
      <c r="N218" s="127" t="s">
        <v>138</v>
      </c>
      <c r="O218" s="128" t="s">
        <v>139</v>
      </c>
      <c r="P218" s="126" t="s">
        <v>122</v>
      </c>
      <c r="Q218" s="129" t="s">
        <v>923</v>
      </c>
      <c r="R218" s="130" t="s">
        <v>924</v>
      </c>
      <c r="S218" s="131" t="s">
        <v>125</v>
      </c>
      <c r="T218" s="132">
        <v>40269</v>
      </c>
      <c r="U218" s="133" t="s">
        <v>622</v>
      </c>
      <c r="V218" s="134" t="s">
        <v>623</v>
      </c>
      <c r="W218" s="118" t="s">
        <v>299</v>
      </c>
      <c r="X218" s="135">
        <v>1227450</v>
      </c>
      <c r="Y218" s="135">
        <v>1227450</v>
      </c>
      <c r="Z218" s="136">
        <v>1</v>
      </c>
      <c r="AA218" s="127"/>
      <c r="AB218" s="127"/>
      <c r="AC218" s="127" t="s">
        <v>129</v>
      </c>
      <c r="AD218" s="137" t="s">
        <v>146</v>
      </c>
      <c r="AE218" s="138"/>
      <c r="AF218" s="125"/>
      <c r="AG218" s="117" t="s">
        <v>131</v>
      </c>
      <c r="AH218" s="139" t="s">
        <v>132</v>
      </c>
      <c r="AJ218" s="120"/>
      <c r="AK218" s="178" t="s">
        <v>147</v>
      </c>
      <c r="AL218" s="232" t="str">
        <f>VLOOKUP(AK218,'[3]17見直し計画'!$A$50:$AJ$584,6,0)</f>
        <v>　見直し計画策定以降の新規案件</v>
      </c>
      <c r="AM218" s="140">
        <f>VLOOKUP(AK218,'[3]17見直し計画'!$A$50:$AJ$584,8,0)</f>
        <v>0</v>
      </c>
      <c r="AN218" s="180"/>
      <c r="AO218" s="141">
        <f>VLOOKUP(AK218,'[3]17見直し計画'!$A$50:$AJ$584,11,0)</f>
        <v>0</v>
      </c>
      <c r="AP218" s="140">
        <f>VLOOKUP(AK218,'[3]17見直し計画'!$A$50:$AJ$584,12,0)</f>
        <v>0</v>
      </c>
      <c r="AQ218" s="140">
        <f>VLOOKUP(AK218,'[3]17見直し計画'!$A$50:$AJ$584,13,0)</f>
        <v>0</v>
      </c>
      <c r="AR218" s="140">
        <f>VLOOKUP(AK218,'[3]17見直し計画'!$A$50:$AJ$584,14,0)</f>
        <v>0</v>
      </c>
      <c r="AS218" s="140"/>
      <c r="AT218" s="140">
        <f>VLOOKUP(AK218,'[3]17見直し計画'!$A$50:$AJ$584,35,0)</f>
        <v>0</v>
      </c>
      <c r="AU218" s="140">
        <f>VLOOKUP(AK218,'[3]17見直し計画'!$A$50:$AJ$584,36,0)</f>
        <v>0</v>
      </c>
    </row>
    <row r="219" spans="1:48" ht="105" hidden="1" customHeight="1">
      <c r="B219" s="143" t="s">
        <v>925</v>
      </c>
      <c r="C219" s="222" t="s">
        <v>255</v>
      </c>
      <c r="D219" s="143" t="s">
        <v>256</v>
      </c>
      <c r="E219">
        <f t="shared" si="26"/>
        <v>133</v>
      </c>
      <c r="F219" s="122">
        <v>133</v>
      </c>
      <c r="G219" s="123">
        <v>133</v>
      </c>
      <c r="H219" s="124">
        <v>2200241</v>
      </c>
      <c r="I219" s="125"/>
      <c r="J219" s="124" t="s">
        <v>926</v>
      </c>
      <c r="K219" s="124" t="s">
        <v>195</v>
      </c>
      <c r="L219" s="126"/>
      <c r="M219" s="126"/>
      <c r="N219" s="127" t="s">
        <v>138</v>
      </c>
      <c r="O219" s="128" t="s">
        <v>139</v>
      </c>
      <c r="P219" s="126" t="s">
        <v>122</v>
      </c>
      <c r="Q219" s="129" t="s">
        <v>927</v>
      </c>
      <c r="R219" s="130" t="s">
        <v>928</v>
      </c>
      <c r="S219" s="131" t="s">
        <v>125</v>
      </c>
      <c r="T219" s="132">
        <v>40269</v>
      </c>
      <c r="U219" s="133" t="s">
        <v>929</v>
      </c>
      <c r="V219" s="134" t="s">
        <v>930</v>
      </c>
      <c r="W219" s="118" t="s">
        <v>155</v>
      </c>
      <c r="X219" s="135">
        <v>1207572</v>
      </c>
      <c r="Y219" s="135">
        <v>1207572</v>
      </c>
      <c r="Z219" s="136">
        <v>1</v>
      </c>
      <c r="AA219" s="127"/>
      <c r="AB219" s="127"/>
      <c r="AC219" s="127" t="s">
        <v>129</v>
      </c>
      <c r="AD219" s="137" t="s">
        <v>146</v>
      </c>
      <c r="AE219" s="138"/>
      <c r="AF219" s="125"/>
      <c r="AG219" s="117" t="s">
        <v>131</v>
      </c>
      <c r="AH219" s="139" t="s">
        <v>132</v>
      </c>
      <c r="AJ219" s="179" t="s">
        <v>791</v>
      </c>
      <c r="AK219" s="120" t="s">
        <v>147</v>
      </c>
      <c r="AL219" s="232" t="str">
        <f>VLOOKUP(AK219,'[3]17見直し計画'!$A$50:$AJ$584,6,0)</f>
        <v>　見直し計画策定以降の新規案件</v>
      </c>
      <c r="AM219" s="140">
        <f>VLOOKUP(AK219,'[3]17見直し計画'!$A$50:$AJ$584,8,0)</f>
        <v>0</v>
      </c>
      <c r="AN219" s="180"/>
      <c r="AO219" s="141">
        <f>VLOOKUP(AK219,'[3]17見直し計画'!$A$50:$AJ$584,11,0)</f>
        <v>0</v>
      </c>
      <c r="AP219" s="140">
        <f>VLOOKUP(AK219,'[3]17見直し計画'!$A$50:$AJ$584,12,0)</f>
        <v>0</v>
      </c>
      <c r="AQ219" s="140">
        <f>VLOOKUP(AK219,'[3]17見直し計画'!$A$50:$AJ$584,13,0)</f>
        <v>0</v>
      </c>
      <c r="AR219" s="140">
        <f>VLOOKUP(AK219,'[3]17見直し計画'!$A$50:$AJ$584,14,0)</f>
        <v>0</v>
      </c>
      <c r="AS219" s="140"/>
      <c r="AT219" s="140">
        <f>VLOOKUP(AK219,'[3]17見直し計画'!$A$50:$AJ$584,35,0)</f>
        <v>0</v>
      </c>
      <c r="AU219" s="140">
        <f>VLOOKUP(AK219,'[3]17見直し計画'!$A$50:$AJ$584,36,0)</f>
        <v>0</v>
      </c>
    </row>
    <row r="220" spans="1:48" ht="105" hidden="1" customHeight="1">
      <c r="B220" s="126" t="s">
        <v>193</v>
      </c>
      <c r="C220" s="222" t="s">
        <v>135</v>
      </c>
      <c r="D220" s="143" t="s">
        <v>136</v>
      </c>
      <c r="E220">
        <f t="shared" si="26"/>
        <v>134</v>
      </c>
      <c r="F220" s="122">
        <v>134</v>
      </c>
      <c r="G220" s="123">
        <v>134</v>
      </c>
      <c r="H220" s="124">
        <v>2200359</v>
      </c>
      <c r="I220" s="125"/>
      <c r="J220" s="124" t="s">
        <v>931</v>
      </c>
      <c r="K220" s="124" t="s">
        <v>932</v>
      </c>
      <c r="L220" s="126"/>
      <c r="M220" s="126"/>
      <c r="N220" s="127" t="s">
        <v>138</v>
      </c>
      <c r="O220" s="128" t="s">
        <v>139</v>
      </c>
      <c r="P220" s="126" t="s">
        <v>122</v>
      </c>
      <c r="Q220" s="129" t="s">
        <v>933</v>
      </c>
      <c r="R220" s="130" t="s">
        <v>934</v>
      </c>
      <c r="S220" s="131" t="s">
        <v>125</v>
      </c>
      <c r="T220" s="132">
        <v>40269</v>
      </c>
      <c r="U220" s="133" t="s">
        <v>834</v>
      </c>
      <c r="V220" s="134" t="s">
        <v>935</v>
      </c>
      <c r="W220" s="118" t="s">
        <v>191</v>
      </c>
      <c r="X220" s="135">
        <v>865620</v>
      </c>
      <c r="Y220" s="135">
        <v>865620</v>
      </c>
      <c r="Z220" s="136">
        <v>1</v>
      </c>
      <c r="AA220" s="127"/>
      <c r="AB220" s="127"/>
      <c r="AC220" s="127" t="s">
        <v>129</v>
      </c>
      <c r="AD220" s="137" t="s">
        <v>146</v>
      </c>
      <c r="AE220" s="138"/>
      <c r="AF220" s="125"/>
      <c r="AG220" s="117" t="s">
        <v>131</v>
      </c>
      <c r="AH220" s="139" t="s">
        <v>132</v>
      </c>
      <c r="AJ220" s="179" t="s">
        <v>936</v>
      </c>
      <c r="AK220" s="120" t="s">
        <v>147</v>
      </c>
      <c r="AL220" s="232" t="str">
        <f>VLOOKUP(AK220,'[3]17見直し計画'!$A$50:$AJ$584,6,0)</f>
        <v>　見直し計画策定以降の新規案件</v>
      </c>
      <c r="AM220" s="140">
        <f>VLOOKUP(AK220,'[3]17見直し計画'!$A$50:$AJ$584,8,0)</f>
        <v>0</v>
      </c>
      <c r="AN220" s="180"/>
      <c r="AO220" s="141">
        <f>VLOOKUP(AK220,'[3]17見直し計画'!$A$50:$AJ$584,11,0)</f>
        <v>0</v>
      </c>
      <c r="AP220" s="140">
        <f>VLOOKUP(AK220,'[3]17見直し計画'!$A$50:$AJ$584,12,0)</f>
        <v>0</v>
      </c>
      <c r="AQ220" s="140">
        <f>VLOOKUP(AK220,'[3]17見直し計画'!$A$50:$AJ$584,13,0)</f>
        <v>0</v>
      </c>
      <c r="AR220" s="140">
        <f>VLOOKUP(AK220,'[3]17見直し計画'!$A$50:$AJ$584,14,0)</f>
        <v>0</v>
      </c>
      <c r="AS220" s="140"/>
      <c r="AT220" s="140">
        <f>VLOOKUP(AK220,'[3]17見直し計画'!$A$50:$AJ$584,35,0)</f>
        <v>0</v>
      </c>
      <c r="AU220" s="140">
        <f>VLOOKUP(AK220,'[3]17見直し計画'!$A$50:$AJ$584,36,0)</f>
        <v>0</v>
      </c>
    </row>
    <row r="221" spans="1:48" ht="105" hidden="1" customHeight="1">
      <c r="A221" t="s">
        <v>148</v>
      </c>
      <c r="B221" s="126"/>
      <c r="C221" s="222"/>
      <c r="D221" s="143" t="s">
        <v>305</v>
      </c>
      <c r="E221">
        <f t="shared" si="26"/>
        <v>135</v>
      </c>
      <c r="F221" s="122">
        <v>135</v>
      </c>
      <c r="G221" s="123">
        <v>135</v>
      </c>
      <c r="H221" s="124">
        <v>2200102</v>
      </c>
      <c r="I221" s="125"/>
      <c r="J221" s="124"/>
      <c r="K221" s="124" t="s">
        <v>345</v>
      </c>
      <c r="L221" s="126"/>
      <c r="M221" s="126"/>
      <c r="N221" s="127" t="s">
        <v>307</v>
      </c>
      <c r="O221" s="128" t="s">
        <v>139</v>
      </c>
      <c r="P221" s="126" t="s">
        <v>308</v>
      </c>
      <c r="Q221" s="129" t="s">
        <v>937</v>
      </c>
      <c r="R221" s="130" t="s">
        <v>938</v>
      </c>
      <c r="S221" s="131" t="s">
        <v>125</v>
      </c>
      <c r="T221" s="132">
        <v>40269</v>
      </c>
      <c r="U221" s="133" t="s">
        <v>939</v>
      </c>
      <c r="V221" s="134" t="s">
        <v>940</v>
      </c>
      <c r="W221" s="118" t="s">
        <v>941</v>
      </c>
      <c r="X221" s="135" t="s">
        <v>129</v>
      </c>
      <c r="Y221" s="227">
        <v>190690377</v>
      </c>
      <c r="Z221" s="136" t="e">
        <v>#VALUE!</v>
      </c>
      <c r="AA221" s="127"/>
      <c r="AB221" s="127" t="s">
        <v>942</v>
      </c>
      <c r="AC221" s="127" t="s">
        <v>129</v>
      </c>
      <c r="AD221" s="137" t="s">
        <v>315</v>
      </c>
      <c r="AE221" s="138"/>
      <c r="AF221" s="125"/>
      <c r="AG221" s="117" t="s">
        <v>131</v>
      </c>
      <c r="AH221" s="139" t="s">
        <v>132</v>
      </c>
      <c r="AI221" s="177"/>
      <c r="AJ221" s="120" t="s">
        <v>156</v>
      </c>
      <c r="AK221" s="120" t="s">
        <v>147</v>
      </c>
      <c r="AL221" s="232" t="str">
        <f>VLOOKUP(AK221,'[3]17見直し計画'!$A$50:$AJ$584,6,0)</f>
        <v>　見直し計画策定以降の新規案件</v>
      </c>
      <c r="AM221" s="140">
        <f>VLOOKUP(AK221,'[3]17見直し計画'!$A$50:$AJ$584,8,0)</f>
        <v>0</v>
      </c>
      <c r="AN221" s="180"/>
      <c r="AO221" s="141">
        <f>VLOOKUP(AK221,'[3]17見直し計画'!$A$50:$AJ$584,11,0)</f>
        <v>0</v>
      </c>
      <c r="AP221" s="140">
        <f>VLOOKUP(AK221,'[3]17見直し計画'!$A$50:$AJ$584,12,0)</f>
        <v>0</v>
      </c>
      <c r="AQ221" s="140">
        <f>VLOOKUP(AK221,'[3]17見直し計画'!$A$50:$AJ$584,13,0)</f>
        <v>0</v>
      </c>
      <c r="AR221" s="140">
        <f>VLOOKUP(AK221,'[3]17見直し計画'!$A$50:$AJ$584,14,0)</f>
        <v>0</v>
      </c>
      <c r="AS221" s="140"/>
      <c r="AT221" s="140">
        <f>VLOOKUP(AK221,'[3]17見直し計画'!$A$50:$AJ$584,35,0)</f>
        <v>0</v>
      </c>
      <c r="AU221" s="140">
        <f>VLOOKUP(AK221,'[3]17見直し計画'!$A$50:$AJ$584,36,0)</f>
        <v>0</v>
      </c>
    </row>
    <row r="222" spans="1:48" ht="105" hidden="1" customHeight="1">
      <c r="B222" s="152"/>
      <c r="C222" s="152"/>
      <c r="D222" s="153" t="s">
        <v>159</v>
      </c>
      <c r="E222" s="154">
        <f t="shared" si="26"/>
        <v>136</v>
      </c>
      <c r="F222" s="155">
        <v>136</v>
      </c>
      <c r="G222" s="156">
        <v>136</v>
      </c>
      <c r="H222" s="157">
        <v>2200038</v>
      </c>
      <c r="I222" s="158"/>
      <c r="J222" s="157"/>
      <c r="K222" s="157" t="s">
        <v>433</v>
      </c>
      <c r="L222" s="159"/>
      <c r="M222" s="159"/>
      <c r="N222" s="160" t="s">
        <v>266</v>
      </c>
      <c r="O222" s="161" t="s">
        <v>139</v>
      </c>
      <c r="P222" s="159" t="s">
        <v>163</v>
      </c>
      <c r="Q222" s="162" t="s">
        <v>943</v>
      </c>
      <c r="R222" s="163" t="s">
        <v>944</v>
      </c>
      <c r="S222" s="164" t="s">
        <v>125</v>
      </c>
      <c r="T222" s="165">
        <v>40269</v>
      </c>
      <c r="U222" s="166" t="s">
        <v>945</v>
      </c>
      <c r="V222" s="167" t="s">
        <v>946</v>
      </c>
      <c r="W222" s="151" t="s">
        <v>947</v>
      </c>
      <c r="X222" s="168" t="s">
        <v>129</v>
      </c>
      <c r="Y222" s="228">
        <v>7155903</v>
      </c>
      <c r="Z222" s="169" t="e">
        <v>#VALUE!</v>
      </c>
      <c r="AA222" s="160"/>
      <c r="AB222" s="160" t="s">
        <v>145</v>
      </c>
      <c r="AC222" s="160" t="s">
        <v>169</v>
      </c>
      <c r="AD222" s="170" t="s">
        <v>271</v>
      </c>
      <c r="AE222" s="171"/>
      <c r="AF222" s="158"/>
      <c r="AG222" s="172" t="s">
        <v>131</v>
      </c>
      <c r="AH222" s="173" t="s">
        <v>171</v>
      </c>
      <c r="AI222" s="154"/>
      <c r="AJ222" s="152"/>
      <c r="AK222" s="152" t="s">
        <v>948</v>
      </c>
      <c r="AL222" s="233" t="str">
        <f>VLOOKUP(AK222,'[3]17見直し計画'!$A$50:$AJ$584,6,0)</f>
        <v>株式会社放送サービスセンター</v>
      </c>
      <c r="AM222" s="174" t="str">
        <f>VLOOKUP(AK222,'[3]17見直し計画'!$A$50:$AJ$584,8,0)</f>
        <v>外務省庁舎内国際会議室「同時通訳設備及び音響・映像設備の運用」業務委託単価契約</v>
      </c>
      <c r="AN222" s="225">
        <f>VLOOKUP(AK222,'[3]17見直し計画'!$A$50:$AJ$584,10,0)</f>
        <v>38443</v>
      </c>
      <c r="AO222" s="175">
        <f>VLOOKUP(AK222,'[3]17見直し計画'!$A$50:$AJ$584,11,0)</f>
        <v>4594485</v>
      </c>
      <c r="AP222" s="174" t="str">
        <f>VLOOKUP(AK222,'[3]17見直し計画'!$A$50:$AJ$584,12,0)</f>
        <v>当省の国際会議室に設置の各種設備は外国製特注の機材が含まれ右取り扱いには特別なノウハウが必要であるところ、契約相手先は過去２０年以上に亘り本件業務を請負い、同社の技術者はその運用を熟知していることから、円滑な会議運営のため同社との契約は不可欠である（会計法第２９条の３第４項）。</v>
      </c>
      <c r="AQ222" s="174" t="str">
        <f>VLOOKUP(AK222,'[3]17見直し計画'!$A$50:$AJ$584,13,0)</f>
        <v>見直しの余地があるもの</v>
      </c>
      <c r="AR222" s="174" t="str">
        <f>VLOOKUP(AK222,'[3]17見直し計画'!$A$50:$AJ$584,14,0)</f>
        <v>公募または競争入札に移行（１９年度より）</v>
      </c>
      <c r="AS222" s="174"/>
      <c r="AT222" s="174">
        <f>VLOOKUP(AK222,'[3]17見直し計画'!$A$50:$AJ$584,35,0)</f>
        <v>0</v>
      </c>
      <c r="AU222" s="174">
        <f>VLOOKUP(AK222,'[3]17見直し計画'!$A$50:$AJ$584,36,0)</f>
        <v>0</v>
      </c>
    </row>
    <row r="223" spans="1:48" ht="105" customHeight="1">
      <c r="B223" s="143" t="s">
        <v>349</v>
      </c>
      <c r="C223" s="143" t="s">
        <v>550</v>
      </c>
      <c r="D223" s="143" t="s">
        <v>351</v>
      </c>
      <c r="E223">
        <f t="shared" si="26"/>
        <v>137</v>
      </c>
      <c r="F223" s="122">
        <v>137</v>
      </c>
      <c r="G223" s="123">
        <v>137</v>
      </c>
      <c r="H223" s="124">
        <v>2200405</v>
      </c>
      <c r="I223" s="125"/>
      <c r="J223" s="124" t="s">
        <v>949</v>
      </c>
      <c r="K223" s="124" t="s">
        <v>353</v>
      </c>
      <c r="L223" s="126"/>
      <c r="M223" s="126"/>
      <c r="N223" s="127" t="s">
        <v>354</v>
      </c>
      <c r="O223" s="128" t="s">
        <v>355</v>
      </c>
      <c r="P223" s="126" t="s">
        <v>122</v>
      </c>
      <c r="Q223" s="129" t="s">
        <v>950</v>
      </c>
      <c r="R223" s="130" t="s">
        <v>951</v>
      </c>
      <c r="S223" s="131" t="s">
        <v>125</v>
      </c>
      <c r="T223" s="132">
        <v>40269</v>
      </c>
      <c r="U223" s="133" t="s">
        <v>358</v>
      </c>
      <c r="V223" s="134" t="s">
        <v>359</v>
      </c>
      <c r="W223" s="118" t="s">
        <v>952</v>
      </c>
      <c r="X223" s="135" t="s">
        <v>129</v>
      </c>
      <c r="Y223" s="227">
        <v>2312100</v>
      </c>
      <c r="Z223" s="136" t="e">
        <v>#VALUE!</v>
      </c>
      <c r="AA223" s="127"/>
      <c r="AB223" s="127" t="s">
        <v>145</v>
      </c>
      <c r="AC223" s="127" t="s">
        <v>129</v>
      </c>
      <c r="AD223" s="137" t="s">
        <v>361</v>
      </c>
      <c r="AE223" s="138"/>
      <c r="AF223" s="125"/>
      <c r="AG223" s="117" t="s">
        <v>131</v>
      </c>
      <c r="AH223" s="139" t="s">
        <v>132</v>
      </c>
      <c r="AJ223" s="120"/>
      <c r="AK223" s="120" t="s">
        <v>362</v>
      </c>
      <c r="AL223" s="232" t="str">
        <f>VLOOKUP(AK223,'[3]17見直し計画'!$A$50:$AJ$584,6,0)</f>
        <v>成田国際空港株式会社</v>
      </c>
      <c r="AM223" s="140" t="str">
        <f>VLOOKUP(AK223,'[3]17見直し計画'!$A$50:$AJ$584,8,0)</f>
        <v>成田国際空港第１ＰＴＢ内貴賓室賃貸借契約</v>
      </c>
      <c r="AN223" s="180" t="str">
        <f>VLOOKUP(AK223,'[3]17見直し計画'!$A$50:$AJ$584,10,0)</f>
        <v>平成17/04/01</v>
      </c>
      <c r="AO223" s="141">
        <f>VLOOKUP(AK223,'[3]17見直し計画'!$A$50:$AJ$584,11,0)</f>
        <v>15894840</v>
      </c>
      <c r="AP223" s="140" t="str">
        <f>VLOOKUP(AK223,'[3]17見直し計画'!$A$50:$AJ$584,12,0)</f>
        <v>契約可能な相手が成田空港株式会社以外になく、他に競争を許さない（会計法第２９条の３第４項）。</v>
      </c>
      <c r="AQ223" s="140" t="str">
        <f>VLOOKUP(AK223,'[3]17見直し計画'!$A$50:$AJ$584,13,0)</f>
        <v>その他のもの</v>
      </c>
      <c r="AR223" s="140" t="str">
        <f>VLOOKUP(AK223,'[3]17見直し計画'!$A$50:$AJ$584,14,0)</f>
        <v>ー
（随意契約によらざるを得ないもの）</v>
      </c>
      <c r="AS223" s="140"/>
      <c r="AT223" s="140" t="str">
        <f>VLOOKUP(AK223,'[3]17見直し計画'!$A$50:$AJ$584,35,0)</f>
        <v>場所が限定される賃貸借その他業務</v>
      </c>
      <c r="AU223" s="140" t="str">
        <f>VLOOKUP(AK223,'[3]17見直し計画'!$A$50:$AJ$584,36,0)</f>
        <v>ロ</v>
      </c>
    </row>
    <row r="224" spans="1:48" ht="105" hidden="1" customHeight="1">
      <c r="B224" s="143" t="s">
        <v>953</v>
      </c>
      <c r="C224" s="222" t="s">
        <v>255</v>
      </c>
      <c r="D224" s="143" t="s">
        <v>256</v>
      </c>
      <c r="E224">
        <f>SUM(E223+1)</f>
        <v>138</v>
      </c>
      <c r="F224" s="122">
        <v>138</v>
      </c>
      <c r="G224" s="123">
        <v>138</v>
      </c>
      <c r="H224" s="124">
        <v>2200228</v>
      </c>
      <c r="I224" s="125"/>
      <c r="J224" s="124"/>
      <c r="K224" s="124" t="s">
        <v>286</v>
      </c>
      <c r="L224" s="126"/>
      <c r="M224" s="126"/>
      <c r="N224" s="127" t="s">
        <v>954</v>
      </c>
      <c r="O224" s="128" t="s">
        <v>139</v>
      </c>
      <c r="P224" s="126" t="s">
        <v>955</v>
      </c>
      <c r="Q224" s="129" t="s">
        <v>956</v>
      </c>
      <c r="R224" s="130" t="s">
        <v>957</v>
      </c>
      <c r="S224" s="131" t="s">
        <v>125</v>
      </c>
      <c r="T224" s="132">
        <v>40269</v>
      </c>
      <c r="U224" s="133" t="s">
        <v>958</v>
      </c>
      <c r="V224" s="134" t="s">
        <v>359</v>
      </c>
      <c r="W224" s="118" t="s">
        <v>959</v>
      </c>
      <c r="X224" s="135" t="s">
        <v>129</v>
      </c>
      <c r="Y224" s="227">
        <v>4819000</v>
      </c>
      <c r="Z224" s="136" t="e">
        <v>#VALUE!</v>
      </c>
      <c r="AA224" s="127"/>
      <c r="AB224" s="127" t="s">
        <v>145</v>
      </c>
      <c r="AC224" s="127" t="s">
        <v>129</v>
      </c>
      <c r="AD224" s="137" t="s">
        <v>960</v>
      </c>
      <c r="AE224" s="138"/>
      <c r="AF224" s="125"/>
      <c r="AG224" s="117" t="s">
        <v>131</v>
      </c>
      <c r="AH224" s="139" t="s">
        <v>132</v>
      </c>
      <c r="AJ224" s="120"/>
      <c r="AK224" s="120" t="s">
        <v>147</v>
      </c>
      <c r="AL224" s="232" t="str">
        <f>VLOOKUP(AK224,'[3]17見直し計画'!$A$50:$AJ$584,6,0)</f>
        <v>　見直し計画策定以降の新規案件</v>
      </c>
      <c r="AM224" s="140">
        <f>VLOOKUP(AK224,'[3]17見直し計画'!$A$50:$AJ$584,8,0)</f>
        <v>0</v>
      </c>
      <c r="AN224" s="180"/>
      <c r="AO224" s="141">
        <f>VLOOKUP(AK224,'[3]17見直し計画'!$A$50:$AJ$584,11,0)</f>
        <v>0</v>
      </c>
      <c r="AP224" s="140">
        <f>VLOOKUP(AK224,'[3]17見直し計画'!$A$50:$AJ$584,12,0)</f>
        <v>0</v>
      </c>
      <c r="AQ224" s="140">
        <f>VLOOKUP(AK224,'[3]17見直し計画'!$A$50:$AJ$584,13,0)</f>
        <v>0</v>
      </c>
      <c r="AR224" s="140">
        <f>VLOOKUP(AK224,'[3]17見直し計画'!$A$50:$AJ$584,14,0)</f>
        <v>0</v>
      </c>
      <c r="AS224" s="140"/>
      <c r="AT224" s="140">
        <f>VLOOKUP(AK224,'[3]17見直し計画'!$A$50:$AJ$584,35,0)</f>
        <v>0</v>
      </c>
      <c r="AU224" s="140">
        <f>VLOOKUP(AK224,'[3]17見直し計画'!$A$50:$AJ$584,36,0)</f>
        <v>0</v>
      </c>
    </row>
    <row r="225" spans="1:47" ht="132" hidden="1" customHeight="1">
      <c r="B225" s="152"/>
      <c r="C225" s="152"/>
      <c r="D225" s="234" t="s">
        <v>118</v>
      </c>
      <c r="E225" s="154">
        <f t="shared" si="26"/>
        <v>139</v>
      </c>
      <c r="F225" s="155">
        <v>139</v>
      </c>
      <c r="G225" s="156">
        <v>139</v>
      </c>
      <c r="H225" s="157">
        <v>2200229</v>
      </c>
      <c r="I225" s="158"/>
      <c r="J225" s="157"/>
      <c r="K225" s="157" t="s">
        <v>286</v>
      </c>
      <c r="L225" s="159"/>
      <c r="M225" s="159"/>
      <c r="N225" s="160" t="s">
        <v>266</v>
      </c>
      <c r="O225" s="161" t="s">
        <v>139</v>
      </c>
      <c r="P225" s="159" t="s">
        <v>163</v>
      </c>
      <c r="Q225" s="162" t="s">
        <v>961</v>
      </c>
      <c r="R225" s="163" t="s">
        <v>962</v>
      </c>
      <c r="S225" s="164" t="s">
        <v>125</v>
      </c>
      <c r="T225" s="165">
        <v>40269</v>
      </c>
      <c r="U225" s="166" t="s">
        <v>963</v>
      </c>
      <c r="V225" s="167" t="s">
        <v>964</v>
      </c>
      <c r="W225" s="151" t="s">
        <v>965</v>
      </c>
      <c r="X225" s="168" t="s">
        <v>129</v>
      </c>
      <c r="Y225" s="227">
        <v>134358175</v>
      </c>
      <c r="Z225" s="169" t="e">
        <v>#VALUE!</v>
      </c>
      <c r="AA225" s="160"/>
      <c r="AB225" s="160" t="s">
        <v>145</v>
      </c>
      <c r="AC225" s="160">
        <v>5</v>
      </c>
      <c r="AD225" s="170" t="s">
        <v>966</v>
      </c>
      <c r="AE225" s="171"/>
      <c r="AF225" s="158"/>
      <c r="AG225" s="172" t="s">
        <v>131</v>
      </c>
      <c r="AH225" s="173" t="s">
        <v>238</v>
      </c>
      <c r="AI225" s="154"/>
      <c r="AJ225" s="152"/>
      <c r="AK225" s="152" t="s">
        <v>967</v>
      </c>
      <c r="AL225" s="233" t="str">
        <f>VLOOKUP(AK225,'[3]17見直し計画'!$A$50:$AJ$584,6,0)</f>
        <v>日本交通株式会社他７社　</v>
      </c>
      <c r="AM225" s="174" t="str">
        <f>VLOOKUP(AK225,'[3]17見直し計画'!$A$50:$AJ$584,8,0)</f>
        <v>ハイヤー借り上げ（単価契約）</v>
      </c>
      <c r="AN225" s="225">
        <f>VLOOKUP(AK225,'[3]17見直し計画'!$A$50:$AJ$584,10,0)</f>
        <v>38443</v>
      </c>
      <c r="AO225" s="175">
        <f>VLOOKUP(AK225,'[3]17見直し計画'!$A$50:$AJ$584,11,0)</f>
        <v>5341000</v>
      </c>
      <c r="AP225" s="174" t="str">
        <f>VLOOKUP(AK225,'[3]17見直し計画'!$A$50:$AJ$584,12,0)</f>
        <v>認可料金による契約であり、他に競争を許さない（会計法第２９条の３第４項、特定政令に該当）。</v>
      </c>
      <c r="AQ225" s="174" t="str">
        <f>VLOOKUP(AK225,'[3]17見直し計画'!$A$50:$AJ$584,13,0)</f>
        <v>その他のもの</v>
      </c>
      <c r="AR225" s="174" t="str">
        <f>VLOOKUP(AK225,'[3]17見直し計画'!$A$50:$AJ$584,14,0)</f>
        <v>随意契約によらざるを得ないもの</v>
      </c>
      <c r="AS225" s="174"/>
      <c r="AT225" s="174">
        <f>VLOOKUP(AK225,'[3]17見直し計画'!$A$50:$AJ$584,35,0)</f>
        <v>0</v>
      </c>
      <c r="AU225" s="174">
        <f>VLOOKUP(AK225,'[3]17見直し計画'!$A$50:$AJ$584,36,0)</f>
        <v>0</v>
      </c>
    </row>
    <row r="226" spans="1:47" ht="105" hidden="1" customHeight="1">
      <c r="B226" s="152"/>
      <c r="C226" s="152"/>
      <c r="D226" s="153" t="s">
        <v>159</v>
      </c>
      <c r="E226" s="154">
        <f t="shared" si="26"/>
        <v>140</v>
      </c>
      <c r="F226" s="155">
        <v>140</v>
      </c>
      <c r="G226" s="156">
        <v>140</v>
      </c>
      <c r="H226" s="157">
        <v>2200231</v>
      </c>
      <c r="I226" s="158"/>
      <c r="J226" s="157"/>
      <c r="K226" s="157" t="s">
        <v>680</v>
      </c>
      <c r="L226" s="159"/>
      <c r="M226" s="159"/>
      <c r="N226" s="160" t="s">
        <v>266</v>
      </c>
      <c r="O226" s="161" t="s">
        <v>139</v>
      </c>
      <c r="P226" s="159" t="s">
        <v>163</v>
      </c>
      <c r="Q226" s="162" t="s">
        <v>968</v>
      </c>
      <c r="R226" s="163" t="s">
        <v>969</v>
      </c>
      <c r="S226" s="164" t="s">
        <v>125</v>
      </c>
      <c r="T226" s="165">
        <v>40269</v>
      </c>
      <c r="U226" s="166" t="s">
        <v>772</v>
      </c>
      <c r="V226" s="167" t="s">
        <v>773</v>
      </c>
      <c r="W226" s="151" t="s">
        <v>970</v>
      </c>
      <c r="X226" s="168" t="s">
        <v>129</v>
      </c>
      <c r="Y226" s="227">
        <v>29683896</v>
      </c>
      <c r="Z226" s="169" t="e">
        <v>#VALUE!</v>
      </c>
      <c r="AA226" s="160"/>
      <c r="AB226" s="160" t="s">
        <v>145</v>
      </c>
      <c r="AC226" s="160" t="s">
        <v>169</v>
      </c>
      <c r="AD226" s="170" t="s">
        <v>271</v>
      </c>
      <c r="AE226" s="171"/>
      <c r="AF226" s="158"/>
      <c r="AG226" s="172" t="s">
        <v>131</v>
      </c>
      <c r="AH226" s="173" t="s">
        <v>171</v>
      </c>
      <c r="AI226" s="154"/>
      <c r="AJ226" s="152"/>
      <c r="AK226" s="152" t="s">
        <v>776</v>
      </c>
      <c r="AL226" s="233" t="str">
        <f>VLOOKUP(AK226,'[3]17見直し計画'!$A$50:$AJ$584,6,0)</f>
        <v>株式会社アテナ</v>
      </c>
      <c r="AM226" s="174" t="str">
        <f>VLOOKUP(AK226,'[3]17見直し計画'!$A$50:$AJ$584,8,0)</f>
        <v>国・公賓接遇に係る国旗掲揚諸業務（※５件）</v>
      </c>
      <c r="AN226" s="225">
        <f>VLOOKUP(AK226,'[3]17見直し計画'!$A$50:$AJ$584,10,0)</f>
        <v>38497</v>
      </c>
      <c r="AO226" s="175">
        <f>VLOOKUP(AK226,'[3]17見直し計画'!$A$50:$AJ$584,11,0)</f>
        <v>10539450</v>
      </c>
      <c r="AP226" s="174" t="str">
        <f>VLOOKUP(AK226,'[3]17見直し計画'!$A$50:$AJ$584,12,0)</f>
        <v>国公賓等の接遇の際に必要となる一連の諸業務である、公式万国旗の製造・保管、配布・回収、街路旗のレンタル・取り付け・撤去・メンテナンス等の一括請負が可能な業者が他になく、競争を許さない（会計法第２９条の３第４項）。</v>
      </c>
      <c r="AQ226" s="174" t="str">
        <f>VLOOKUP(AK226,'[3]17見直し計画'!$A$50:$AJ$584,13,0)</f>
        <v>見直しの余地があるもの</v>
      </c>
      <c r="AR226" s="174" t="str">
        <f>VLOOKUP(AK226,'[3]17見直し計画'!$A$50:$AJ$584,14,0)</f>
        <v>競争入札もしくは公募に移行（平成２０年度から実施予定）</v>
      </c>
      <c r="AS226" s="174"/>
      <c r="AT226" s="174">
        <f>VLOOKUP(AK226,'[3]17見直し計画'!$A$50:$AJ$584,35,0)</f>
        <v>0</v>
      </c>
      <c r="AU226" s="174">
        <f>VLOOKUP(AK226,'[3]17見直し計画'!$A$50:$AJ$584,36,0)</f>
        <v>0</v>
      </c>
    </row>
    <row r="227" spans="1:47" ht="105" hidden="1" customHeight="1">
      <c r="B227" s="126" t="s">
        <v>218</v>
      </c>
      <c r="C227" s="120" t="s">
        <v>135</v>
      </c>
      <c r="D227" s="143" t="s">
        <v>136</v>
      </c>
      <c r="E227">
        <f t="shared" si="26"/>
        <v>141</v>
      </c>
      <c r="F227" s="122">
        <v>141</v>
      </c>
      <c r="G227" s="123">
        <v>141</v>
      </c>
      <c r="H227" s="124">
        <v>2200287</v>
      </c>
      <c r="I227" s="125"/>
      <c r="J227" s="124" t="s">
        <v>971</v>
      </c>
      <c r="K227" s="124" t="s">
        <v>972</v>
      </c>
      <c r="L227" s="126"/>
      <c r="M227" s="126"/>
      <c r="N227" s="127" t="s">
        <v>138</v>
      </c>
      <c r="O227" s="128" t="s">
        <v>139</v>
      </c>
      <c r="P227" s="126" t="s">
        <v>122</v>
      </c>
      <c r="Q227" s="129" t="s">
        <v>973</v>
      </c>
      <c r="R227" s="130" t="s">
        <v>974</v>
      </c>
      <c r="S227" s="131" t="s">
        <v>125</v>
      </c>
      <c r="T227" s="132">
        <v>40269</v>
      </c>
      <c r="U227" s="133" t="s">
        <v>975</v>
      </c>
      <c r="V227" s="134" t="s">
        <v>127</v>
      </c>
      <c r="W227" s="118" t="s">
        <v>976</v>
      </c>
      <c r="X227" s="135" t="s">
        <v>129</v>
      </c>
      <c r="Y227" s="227">
        <v>51308000</v>
      </c>
      <c r="Z227" s="136" t="e">
        <v>#VALUE!</v>
      </c>
      <c r="AA227" s="127"/>
      <c r="AB227" s="127" t="s">
        <v>145</v>
      </c>
      <c r="AC227" s="127" t="s">
        <v>129</v>
      </c>
      <c r="AD227" s="137" t="s">
        <v>146</v>
      </c>
      <c r="AE227" s="138"/>
      <c r="AF227" s="125"/>
      <c r="AG227" s="117" t="s">
        <v>131</v>
      </c>
      <c r="AH227" s="139" t="s">
        <v>132</v>
      </c>
      <c r="AJ227" s="120"/>
      <c r="AK227" s="120" t="s">
        <v>147</v>
      </c>
      <c r="AL227" s="232" t="str">
        <f>VLOOKUP(AK227,'[3]17見直し計画'!$A$50:$AJ$584,6,0)</f>
        <v>　見直し計画策定以降の新規案件</v>
      </c>
      <c r="AM227" s="140">
        <f>VLOOKUP(AK227,'[3]17見直し計画'!$A$50:$AJ$584,8,0)</f>
        <v>0</v>
      </c>
      <c r="AN227" s="180"/>
      <c r="AO227" s="141">
        <f>VLOOKUP(AK227,'[3]17見直し計画'!$A$50:$AJ$584,11,0)</f>
        <v>0</v>
      </c>
      <c r="AP227" s="140">
        <f>VLOOKUP(AK227,'[3]17見直し計画'!$A$50:$AJ$584,12,0)</f>
        <v>0</v>
      </c>
      <c r="AQ227" s="140">
        <f>VLOOKUP(AK227,'[3]17見直し計画'!$A$50:$AJ$584,13,0)</f>
        <v>0</v>
      </c>
      <c r="AR227" s="140">
        <f>VLOOKUP(AK227,'[3]17見直し計画'!$A$50:$AJ$584,14,0)</f>
        <v>0</v>
      </c>
      <c r="AS227" s="140"/>
      <c r="AT227" s="140">
        <f>VLOOKUP(AK227,'[3]17見直し計画'!$A$50:$AJ$584,35,0)</f>
        <v>0</v>
      </c>
      <c r="AU227" s="140">
        <f>VLOOKUP(AK227,'[3]17見直し計画'!$A$50:$AJ$584,36,0)</f>
        <v>0</v>
      </c>
    </row>
    <row r="228" spans="1:47" ht="105" customHeight="1">
      <c r="B228" s="235" t="s">
        <v>977</v>
      </c>
      <c r="C228" s="120" t="s">
        <v>350</v>
      </c>
      <c r="D228" s="143" t="s">
        <v>477</v>
      </c>
      <c r="E228">
        <f t="shared" si="26"/>
        <v>142</v>
      </c>
      <c r="F228" s="236">
        <v>142</v>
      </c>
      <c r="G228" s="237">
        <v>142</v>
      </c>
      <c r="H228" s="124">
        <v>2200473</v>
      </c>
      <c r="I228" s="125"/>
      <c r="J228" s="124" t="s">
        <v>978</v>
      </c>
      <c r="K228" s="124" t="s">
        <v>286</v>
      </c>
      <c r="L228" s="126"/>
      <c r="M228" s="126"/>
      <c r="N228" s="127" t="s">
        <v>979</v>
      </c>
      <c r="O228" s="128" t="s">
        <v>980</v>
      </c>
      <c r="P228" s="126" t="s">
        <v>122</v>
      </c>
      <c r="Q228" s="129" t="s">
        <v>981</v>
      </c>
      <c r="R228" s="130" t="s">
        <v>982</v>
      </c>
      <c r="S228" s="131" t="s">
        <v>125</v>
      </c>
      <c r="T228" s="132">
        <v>40269</v>
      </c>
      <c r="U228" s="133" t="s">
        <v>983</v>
      </c>
      <c r="V228" s="134" t="s">
        <v>984</v>
      </c>
      <c r="W228" s="118" t="s">
        <v>985</v>
      </c>
      <c r="X228" s="135" t="s">
        <v>129</v>
      </c>
      <c r="Y228" s="142">
        <v>7999005</v>
      </c>
      <c r="Z228" s="136" t="e">
        <v>#VALUE!</v>
      </c>
      <c r="AA228" s="127"/>
      <c r="AB228" s="127" t="s">
        <v>986</v>
      </c>
      <c r="AC228" s="127" t="s">
        <v>129</v>
      </c>
      <c r="AD228" s="137" t="s">
        <v>987</v>
      </c>
      <c r="AE228" s="138"/>
      <c r="AF228" s="125"/>
      <c r="AG228" s="117" t="s">
        <v>131</v>
      </c>
      <c r="AH228" s="139" t="s">
        <v>132</v>
      </c>
      <c r="AJ228" s="120"/>
      <c r="AK228" s="120" t="s">
        <v>988</v>
      </c>
      <c r="AL228" s="232" t="str">
        <f>VLOOKUP(AK228,'[3]17見直し計画'!$A$50:$AJ$584,6,0)</f>
        <v>独立行政法人　国立印刷局</v>
      </c>
      <c r="AM228" s="140" t="str">
        <f>VLOOKUP(AK228,'[3]17見直し計画'!$A$50:$AJ$584,8,0)</f>
        <v>官報公告掲載契約（単価契約）</v>
      </c>
      <c r="AN228" s="180" t="str">
        <f>VLOOKUP(AK228,'[3]17見直し計画'!$A$50:$AJ$584,10,0)</f>
        <v>平成17/04/01</v>
      </c>
      <c r="AO228" s="141">
        <f>VLOOKUP(AK228,'[3]17見直し計画'!$A$50:$AJ$584,11,0)</f>
        <v>7170000</v>
      </c>
      <c r="AP228" s="140" t="str">
        <f>VLOOKUP(AK228,'[3]17見直し計画'!$A$50:$AJ$584,12,0)</f>
        <v>契約可能な相手が（独）国立印刷局以外になく、他に競争を許さない（会計法第２９条の３第４項）。</v>
      </c>
      <c r="AQ228" s="140" t="str">
        <f>VLOOKUP(AK228,'[3]17見直し計画'!$A$50:$AJ$584,13,0)</f>
        <v>その他のもの</v>
      </c>
      <c r="AR228" s="140" t="str">
        <f>VLOOKUP(AK228,'[3]17見直し計画'!$A$50:$AJ$584,14,0)</f>
        <v>ー
（随意契約によらざるを得ないもの）</v>
      </c>
      <c r="AS228" s="140"/>
      <c r="AT228" s="140" t="str">
        <f>VLOOKUP(AK228,'[3]17見直し計画'!$A$50:$AJ$584,35,0)</f>
        <v>官報、法律案、予算案等の印刷業務</v>
      </c>
      <c r="AU228" s="140" t="str">
        <f>VLOOKUP(AK228,'[3]17見直し計画'!$A$50:$AJ$584,36,0)</f>
        <v>ハ</v>
      </c>
    </row>
    <row r="229" spans="1:47" ht="105" hidden="1" customHeight="1">
      <c r="B229" s="152"/>
      <c r="C229" s="152"/>
      <c r="D229" s="234" t="s">
        <v>118</v>
      </c>
      <c r="E229" s="154">
        <f>SUM(E228+1)</f>
        <v>143</v>
      </c>
      <c r="F229" s="155">
        <v>143</v>
      </c>
      <c r="G229" s="156">
        <v>143</v>
      </c>
      <c r="H229" s="157">
        <v>2200227</v>
      </c>
      <c r="I229" s="158"/>
      <c r="J229" s="157"/>
      <c r="K229" s="157" t="s">
        <v>286</v>
      </c>
      <c r="L229" s="159"/>
      <c r="M229" s="159"/>
      <c r="N229" s="160" t="s">
        <v>266</v>
      </c>
      <c r="O229" s="161" t="s">
        <v>139</v>
      </c>
      <c r="P229" s="159" t="s">
        <v>163</v>
      </c>
      <c r="Q229" s="162" t="s">
        <v>989</v>
      </c>
      <c r="R229" s="163" t="s">
        <v>990</v>
      </c>
      <c r="S229" s="164" t="s">
        <v>125</v>
      </c>
      <c r="T229" s="165">
        <v>40269</v>
      </c>
      <c r="U229" s="166" t="s">
        <v>991</v>
      </c>
      <c r="V229" s="167" t="s">
        <v>992</v>
      </c>
      <c r="W229" s="151" t="s">
        <v>965</v>
      </c>
      <c r="X229" s="168" t="s">
        <v>129</v>
      </c>
      <c r="Y229" s="227">
        <v>147215450</v>
      </c>
      <c r="Z229" s="169" t="e">
        <v>#VALUE!</v>
      </c>
      <c r="AA229" s="160"/>
      <c r="AB229" s="160" t="s">
        <v>145</v>
      </c>
      <c r="AC229" s="160">
        <v>10</v>
      </c>
      <c r="AD229" s="170" t="s">
        <v>966</v>
      </c>
      <c r="AE229" s="171"/>
      <c r="AF229" s="158"/>
      <c r="AG229" s="172" t="s">
        <v>131</v>
      </c>
      <c r="AH229" s="173" t="s">
        <v>238</v>
      </c>
      <c r="AI229" s="154"/>
      <c r="AJ229" s="152"/>
      <c r="AK229" s="152" t="s">
        <v>993</v>
      </c>
      <c r="AL229" s="233" t="str">
        <f>VLOOKUP(AK229,'[3]17見直し計画'!$A$50:$AJ$584,6,0)</f>
        <v>東京無線協同組合他６社</v>
      </c>
      <c r="AM229" s="174" t="str">
        <f>VLOOKUP(AK229,'[3]17見直し計画'!$A$50:$AJ$584,8,0)</f>
        <v>タクシー借り上げ（単価契約）</v>
      </c>
      <c r="AN229" s="225">
        <f>VLOOKUP(AK229,'[3]17見直し計画'!$A$50:$AJ$584,10,0)</f>
        <v>38443</v>
      </c>
      <c r="AO229" s="175">
        <f>VLOOKUP(AK229,'[3]17見直し計画'!$A$50:$AJ$584,11,0)</f>
        <v>236811000</v>
      </c>
      <c r="AP229" s="174" t="str">
        <f>VLOOKUP(AK229,'[3]17見直し計画'!$A$50:$AJ$584,12,0)</f>
        <v>認可料金による契約であり、他に競争を許さない（会計法第２９条の３第４項、特定政令に該当）。</v>
      </c>
      <c r="AQ229" s="174" t="str">
        <f>VLOOKUP(AK229,'[3]17見直し計画'!$A$50:$AJ$584,13,0)</f>
        <v>その他のもの</v>
      </c>
      <c r="AR229" s="174" t="str">
        <f>VLOOKUP(AK229,'[3]17見直し計画'!$A$50:$AJ$584,14,0)</f>
        <v>随意契約によらざるを得ないもの</v>
      </c>
      <c r="AS229" s="174"/>
      <c r="AT229" s="174">
        <f>VLOOKUP(AK229,'[3]17見直し計画'!$A$50:$AJ$584,35,0)</f>
        <v>0</v>
      </c>
      <c r="AU229" s="174">
        <f>VLOOKUP(AK229,'[3]17見直し計画'!$A$50:$AJ$584,36,0)</f>
        <v>0</v>
      </c>
    </row>
    <row r="230" spans="1:47" ht="105" hidden="1" customHeight="1">
      <c r="A230" t="s">
        <v>148</v>
      </c>
      <c r="B230" s="126"/>
      <c r="C230" s="120"/>
      <c r="D230" s="143" t="s">
        <v>305</v>
      </c>
      <c r="E230">
        <f t="shared" si="26"/>
        <v>144</v>
      </c>
      <c r="F230" s="122">
        <v>144</v>
      </c>
      <c r="G230" s="123">
        <v>144</v>
      </c>
      <c r="H230" s="124">
        <v>2200360</v>
      </c>
      <c r="I230" s="125"/>
      <c r="J230" s="124" t="s">
        <v>994</v>
      </c>
      <c r="K230" s="124" t="s">
        <v>286</v>
      </c>
      <c r="L230" s="126"/>
      <c r="M230" s="126"/>
      <c r="N230" s="127" t="s">
        <v>307</v>
      </c>
      <c r="O230" s="128" t="s">
        <v>139</v>
      </c>
      <c r="P230" s="126" t="s">
        <v>308</v>
      </c>
      <c r="Q230" s="129" t="s">
        <v>995</v>
      </c>
      <c r="R230" s="130" t="s">
        <v>996</v>
      </c>
      <c r="S230" s="131" t="s">
        <v>125</v>
      </c>
      <c r="T230" s="132">
        <v>40269</v>
      </c>
      <c r="U230" s="133" t="s">
        <v>997</v>
      </c>
      <c r="V230" s="134" t="s">
        <v>998</v>
      </c>
      <c r="W230" s="118" t="s">
        <v>999</v>
      </c>
      <c r="X230" s="135" t="s">
        <v>129</v>
      </c>
      <c r="Y230" s="227">
        <v>8649400</v>
      </c>
      <c r="Z230" s="136" t="e">
        <v>#VALUE!</v>
      </c>
      <c r="AA230" s="127"/>
      <c r="AB230" s="127" t="s">
        <v>942</v>
      </c>
      <c r="AC230" s="127" t="s">
        <v>129</v>
      </c>
      <c r="AD230" s="137" t="s">
        <v>315</v>
      </c>
      <c r="AE230" s="138"/>
      <c r="AF230" s="125"/>
      <c r="AG230" s="117" t="s">
        <v>131</v>
      </c>
      <c r="AH230" s="139" t="s">
        <v>132</v>
      </c>
      <c r="AJ230" s="120"/>
      <c r="AK230" s="120" t="s">
        <v>147</v>
      </c>
      <c r="AL230" s="232" t="str">
        <f>VLOOKUP(AK230,'[3]17見直し計画'!$A$50:$AJ$584,6,0)</f>
        <v>　見直し計画策定以降の新規案件</v>
      </c>
      <c r="AM230" s="140">
        <f>VLOOKUP(AK230,'[3]17見直し計画'!$A$50:$AJ$584,8,0)</f>
        <v>0</v>
      </c>
      <c r="AN230" s="180"/>
      <c r="AO230" s="141">
        <f>VLOOKUP(AK230,'[3]17見直し計画'!$A$50:$AJ$584,11,0)</f>
        <v>0</v>
      </c>
      <c r="AP230" s="140">
        <f>VLOOKUP(AK230,'[3]17見直し計画'!$A$50:$AJ$584,12,0)</f>
        <v>0</v>
      </c>
      <c r="AQ230" s="140">
        <f>VLOOKUP(AK230,'[3]17見直し計画'!$A$50:$AJ$584,13,0)</f>
        <v>0</v>
      </c>
      <c r="AR230" s="140">
        <f>VLOOKUP(AK230,'[3]17見直し計画'!$A$50:$AJ$584,14,0)</f>
        <v>0</v>
      </c>
      <c r="AS230" s="140"/>
      <c r="AT230" s="140">
        <f>VLOOKUP(AK230,'[3]17見直し計画'!$A$50:$AJ$584,35,0)</f>
        <v>0</v>
      </c>
      <c r="AU230" s="140">
        <f>VLOOKUP(AK230,'[3]17見直し計画'!$A$50:$AJ$584,36,0)</f>
        <v>0</v>
      </c>
    </row>
    <row r="231" spans="1:47" ht="105" hidden="1" customHeight="1">
      <c r="B231" s="126" t="s">
        <v>218</v>
      </c>
      <c r="C231" s="120" t="s">
        <v>135</v>
      </c>
      <c r="D231" s="143" t="s">
        <v>136</v>
      </c>
      <c r="E231" s="177">
        <v>145</v>
      </c>
      <c r="F231" s="122"/>
      <c r="G231" s="123"/>
      <c r="H231" s="238">
        <v>2201088</v>
      </c>
      <c r="I231" s="238"/>
      <c r="J231" s="239" t="s">
        <v>1000</v>
      </c>
      <c r="K231" s="124" t="s">
        <v>1001</v>
      </c>
      <c r="L231" s="126"/>
      <c r="M231" s="126" t="s">
        <v>1002</v>
      </c>
      <c r="N231" s="127" t="s">
        <v>1003</v>
      </c>
      <c r="O231" s="128" t="s">
        <v>139</v>
      </c>
      <c r="P231" s="240" t="s">
        <v>1004</v>
      </c>
      <c r="Q231" s="129"/>
      <c r="R231" s="130" t="s">
        <v>1005</v>
      </c>
      <c r="S231" s="131" t="s">
        <v>125</v>
      </c>
      <c r="T231" s="132">
        <v>40269</v>
      </c>
      <c r="U231" s="133" t="s">
        <v>1006</v>
      </c>
      <c r="V231" s="134" t="s">
        <v>1007</v>
      </c>
      <c r="W231" s="130" t="s">
        <v>1008</v>
      </c>
      <c r="X231" s="241" t="s">
        <v>129</v>
      </c>
      <c r="Y231" s="242">
        <v>58232312</v>
      </c>
      <c r="Z231" s="243" t="e">
        <f t="shared" ref="Z231:Z235" si="27">ROUNDDOWN(Y231/X231,3)</f>
        <v>#VALUE!</v>
      </c>
      <c r="AA231" s="127"/>
      <c r="AB231" s="244" t="s">
        <v>1009</v>
      </c>
      <c r="AC231" s="245" t="s">
        <v>129</v>
      </c>
      <c r="AD231" s="246" t="s">
        <v>146</v>
      </c>
      <c r="AE231" s="138"/>
      <c r="AF231" s="125"/>
      <c r="AG231" s="117" t="s">
        <v>131</v>
      </c>
      <c r="AH231" s="139">
        <v>0</v>
      </c>
      <c r="AJ231" s="120"/>
      <c r="AK231" s="120" t="s">
        <v>147</v>
      </c>
      <c r="AL231" s="232" t="str">
        <f>VLOOKUP(AK231,'[3]17見直し計画'!$A$50:$AJ$584,6,0)</f>
        <v>　見直し計画策定以降の新規案件</v>
      </c>
      <c r="AM231" s="140">
        <f>VLOOKUP(AK231,'[3]17見直し計画'!$A$50:$AJ$584,8,0)</f>
        <v>0</v>
      </c>
      <c r="AN231" s="180"/>
      <c r="AO231" s="141">
        <f>VLOOKUP(AK231,'[3]17見直し計画'!$A$50:$AJ$584,11,0)</f>
        <v>0</v>
      </c>
      <c r="AP231" s="140">
        <f>VLOOKUP(AK231,'[3]17見直し計画'!$A$50:$AJ$584,12,0)</f>
        <v>0</v>
      </c>
      <c r="AQ231" s="140">
        <f>VLOOKUP(AK231,'[3]17見直し計画'!$A$50:$AJ$584,13,0)</f>
        <v>0</v>
      </c>
      <c r="AR231" s="140">
        <f>VLOOKUP(AK231,'[3]17見直し計画'!$A$50:$AJ$584,14,0)</f>
        <v>0</v>
      </c>
      <c r="AS231" s="140"/>
      <c r="AT231" s="140">
        <f>VLOOKUP(AK231,'[3]17見直し計画'!$A$50:$AJ$584,35,0)</f>
        <v>0</v>
      </c>
      <c r="AU231" s="140">
        <f>VLOOKUP(AK231,'[3]17見直し計画'!$A$50:$AJ$584,36,0)</f>
        <v>0</v>
      </c>
    </row>
    <row r="232" spans="1:47" ht="105" hidden="1" customHeight="1">
      <c r="B232" s="126" t="s">
        <v>218</v>
      </c>
      <c r="C232" s="120" t="s">
        <v>135</v>
      </c>
      <c r="D232" s="143" t="s">
        <v>136</v>
      </c>
      <c r="E232" s="177">
        <v>146</v>
      </c>
      <c r="F232" s="122"/>
      <c r="G232" s="123"/>
      <c r="H232" s="238">
        <v>2201108</v>
      </c>
      <c r="I232" s="238"/>
      <c r="J232" s="239"/>
      <c r="K232" s="124" t="s">
        <v>1001</v>
      </c>
      <c r="L232" s="126"/>
      <c r="M232" s="126" t="s">
        <v>1010</v>
      </c>
      <c r="N232" s="127" t="s">
        <v>1003</v>
      </c>
      <c r="O232" s="247" t="s">
        <v>139</v>
      </c>
      <c r="P232" s="240" t="s">
        <v>122</v>
      </c>
      <c r="Q232" s="129"/>
      <c r="R232" s="130" t="s">
        <v>1011</v>
      </c>
      <c r="S232" s="131" t="s">
        <v>125</v>
      </c>
      <c r="T232" s="132">
        <v>40269</v>
      </c>
      <c r="U232" s="133" t="s">
        <v>1012</v>
      </c>
      <c r="V232" s="134" t="s">
        <v>1013</v>
      </c>
      <c r="W232" s="130" t="s">
        <v>1008</v>
      </c>
      <c r="X232" s="248">
        <v>8252400</v>
      </c>
      <c r="Y232" s="249">
        <v>8252400</v>
      </c>
      <c r="Z232" s="243">
        <f t="shared" si="27"/>
        <v>1</v>
      </c>
      <c r="AA232" s="250"/>
      <c r="AB232" s="244" t="s">
        <v>1014</v>
      </c>
      <c r="AC232" s="245" t="s">
        <v>129</v>
      </c>
      <c r="AD232" s="127" t="s">
        <v>146</v>
      </c>
      <c r="AE232" s="138"/>
      <c r="AF232" s="125"/>
      <c r="AG232" s="117" t="s">
        <v>131</v>
      </c>
      <c r="AH232" s="139">
        <v>0</v>
      </c>
      <c r="AJ232" s="120"/>
      <c r="AK232" s="120" t="s">
        <v>147</v>
      </c>
      <c r="AL232" s="232" t="str">
        <f>VLOOKUP(AK232,'[3]17見直し計画'!$A$50:$AJ$584,6,0)</f>
        <v>　見直し計画策定以降の新規案件</v>
      </c>
      <c r="AM232" s="140">
        <f>VLOOKUP(AK232,'[3]17見直し計画'!$A$50:$AJ$584,8,0)</f>
        <v>0</v>
      </c>
      <c r="AN232" s="180"/>
      <c r="AO232" s="141">
        <f>VLOOKUP(AK232,'[3]17見直し計画'!$A$50:$AJ$584,11,0)</f>
        <v>0</v>
      </c>
      <c r="AP232" s="140">
        <f>VLOOKUP(AK232,'[3]17見直し計画'!$A$50:$AJ$584,12,0)</f>
        <v>0</v>
      </c>
      <c r="AQ232" s="140">
        <f>VLOOKUP(AK232,'[3]17見直し計画'!$A$50:$AJ$584,13,0)</f>
        <v>0</v>
      </c>
      <c r="AR232" s="140">
        <f>VLOOKUP(AK232,'[3]17見直し計画'!$A$50:$AJ$584,14,0)</f>
        <v>0</v>
      </c>
      <c r="AS232" s="140"/>
      <c r="AT232" s="140">
        <f>VLOOKUP(AK232,'[3]17見直し計画'!$A$50:$AJ$584,35,0)</f>
        <v>0</v>
      </c>
      <c r="AU232" s="140">
        <f>VLOOKUP(AK232,'[3]17見直し計画'!$A$50:$AJ$584,36,0)</f>
        <v>0</v>
      </c>
    </row>
    <row r="233" spans="1:47" ht="105" hidden="1" customHeight="1">
      <c r="B233" s="126" t="s">
        <v>218</v>
      </c>
      <c r="C233" s="120" t="s">
        <v>135</v>
      </c>
      <c r="D233" s="143" t="s">
        <v>136</v>
      </c>
      <c r="E233" s="177">
        <f>SUM(E232+1)</f>
        <v>147</v>
      </c>
      <c r="F233" s="122"/>
      <c r="G233" s="123"/>
      <c r="H233" s="238">
        <v>2201111</v>
      </c>
      <c r="I233" s="238"/>
      <c r="J233" s="239" t="s">
        <v>1015</v>
      </c>
      <c r="K233" s="124" t="s">
        <v>1001</v>
      </c>
      <c r="L233" s="126"/>
      <c r="M233" s="126" t="s">
        <v>1010</v>
      </c>
      <c r="N233" s="127" t="s">
        <v>1003</v>
      </c>
      <c r="O233" s="240" t="s">
        <v>139</v>
      </c>
      <c r="P233" s="240" t="s">
        <v>122</v>
      </c>
      <c r="Q233" s="129"/>
      <c r="R233" s="130" t="s">
        <v>1016</v>
      </c>
      <c r="S233" s="131" t="s">
        <v>125</v>
      </c>
      <c r="T233" s="132">
        <v>40269</v>
      </c>
      <c r="U233" s="133" t="s">
        <v>1017</v>
      </c>
      <c r="V233" s="134" t="s">
        <v>1018</v>
      </c>
      <c r="W233" s="130" t="s">
        <v>1008</v>
      </c>
      <c r="X233" s="241" t="s">
        <v>129</v>
      </c>
      <c r="Y233" s="242">
        <v>4078234</v>
      </c>
      <c r="Z233" s="243" t="e">
        <f t="shared" si="27"/>
        <v>#VALUE!</v>
      </c>
      <c r="AA233" s="250"/>
      <c r="AB233" s="244" t="s">
        <v>1019</v>
      </c>
      <c r="AC233" s="245" t="s">
        <v>129</v>
      </c>
      <c r="AD233" s="127" t="s">
        <v>146</v>
      </c>
      <c r="AE233" s="138"/>
      <c r="AF233" s="125"/>
      <c r="AG233" s="117" t="s">
        <v>131</v>
      </c>
      <c r="AH233" s="139">
        <v>0</v>
      </c>
      <c r="AJ233" s="120"/>
      <c r="AK233" s="120" t="s">
        <v>147</v>
      </c>
      <c r="AL233" s="232" t="str">
        <f>VLOOKUP(AK233,'[3]17見直し計画'!$A$50:$AJ$584,6,0)</f>
        <v>　見直し計画策定以降の新規案件</v>
      </c>
      <c r="AM233" s="140">
        <f>VLOOKUP(AK233,'[3]17見直し計画'!$A$50:$AJ$584,8,0)</f>
        <v>0</v>
      </c>
      <c r="AN233" s="180"/>
      <c r="AO233" s="141">
        <f>VLOOKUP(AK233,'[3]17見直し計画'!$A$50:$AJ$584,11,0)</f>
        <v>0</v>
      </c>
      <c r="AP233" s="140">
        <f>VLOOKUP(AK233,'[3]17見直し計画'!$A$50:$AJ$584,12,0)</f>
        <v>0</v>
      </c>
      <c r="AQ233" s="140">
        <f>VLOOKUP(AK233,'[3]17見直し計画'!$A$50:$AJ$584,13,0)</f>
        <v>0</v>
      </c>
      <c r="AR233" s="140">
        <f>VLOOKUP(AK233,'[3]17見直し計画'!$A$50:$AJ$584,14,0)</f>
        <v>0</v>
      </c>
      <c r="AS233" s="140"/>
      <c r="AT233" s="140">
        <f>VLOOKUP(AK233,'[3]17見直し計画'!$A$50:$AJ$584,35,0)</f>
        <v>0</v>
      </c>
      <c r="AU233" s="140">
        <f>VLOOKUP(AK233,'[3]17見直し計画'!$A$50:$AJ$584,36,0)</f>
        <v>0</v>
      </c>
    </row>
    <row r="234" spans="1:47" ht="105" hidden="1" customHeight="1">
      <c r="B234" s="126" t="s">
        <v>218</v>
      </c>
      <c r="C234" s="120" t="s">
        <v>135</v>
      </c>
      <c r="D234" s="143" t="s">
        <v>136</v>
      </c>
      <c r="E234" s="177">
        <f t="shared" ref="E234:E297" si="28">SUM(E233+1)</f>
        <v>148</v>
      </c>
      <c r="F234" s="122"/>
      <c r="G234" s="123"/>
      <c r="H234" s="238">
        <v>2201071</v>
      </c>
      <c r="I234" s="238"/>
      <c r="J234" s="239"/>
      <c r="K234" s="124" t="s">
        <v>1020</v>
      </c>
      <c r="L234" s="126"/>
      <c r="M234" s="126" t="s">
        <v>1021</v>
      </c>
      <c r="N234" s="127" t="s">
        <v>1003</v>
      </c>
      <c r="O234" s="240" t="s">
        <v>1022</v>
      </c>
      <c r="P234" s="240" t="s">
        <v>122</v>
      </c>
      <c r="Q234" s="129"/>
      <c r="R234" s="130" t="s">
        <v>1023</v>
      </c>
      <c r="S234" s="131" t="s">
        <v>125</v>
      </c>
      <c r="T234" s="132">
        <v>40269</v>
      </c>
      <c r="U234" s="133" t="s">
        <v>1024</v>
      </c>
      <c r="V234" s="134" t="s">
        <v>1025</v>
      </c>
      <c r="W234" s="130" t="s">
        <v>1008</v>
      </c>
      <c r="X234" s="241" t="s">
        <v>129</v>
      </c>
      <c r="Y234" s="242">
        <v>316765610</v>
      </c>
      <c r="Z234" s="243" t="e">
        <f t="shared" si="27"/>
        <v>#VALUE!</v>
      </c>
      <c r="AA234" s="250"/>
      <c r="AB234" s="121" t="s">
        <v>1026</v>
      </c>
      <c r="AC234" s="245" t="s">
        <v>129</v>
      </c>
      <c r="AD234" s="127" t="s">
        <v>146</v>
      </c>
      <c r="AE234" s="138"/>
      <c r="AF234" s="125"/>
      <c r="AG234" s="117" t="s">
        <v>131</v>
      </c>
      <c r="AH234" s="139">
        <v>0</v>
      </c>
      <c r="AJ234" s="120"/>
      <c r="AK234" s="120" t="s">
        <v>147</v>
      </c>
      <c r="AL234" s="232" t="str">
        <f>VLOOKUP(AK234,'[3]17見直し計画'!$A$50:$AJ$584,6,0)</f>
        <v>　見直し計画策定以降の新規案件</v>
      </c>
      <c r="AM234" s="140">
        <f>VLOOKUP(AK234,'[3]17見直し計画'!$A$50:$AJ$584,8,0)</f>
        <v>0</v>
      </c>
      <c r="AN234" s="180"/>
      <c r="AO234" s="141">
        <f>VLOOKUP(AK234,'[3]17見直し計画'!$A$50:$AJ$584,11,0)</f>
        <v>0</v>
      </c>
      <c r="AP234" s="140">
        <f>VLOOKUP(AK234,'[3]17見直し計画'!$A$50:$AJ$584,12,0)</f>
        <v>0</v>
      </c>
      <c r="AQ234" s="140">
        <f>VLOOKUP(AK234,'[3]17見直し計画'!$A$50:$AJ$584,13,0)</f>
        <v>0</v>
      </c>
      <c r="AR234" s="140">
        <f>VLOOKUP(AK234,'[3]17見直し計画'!$A$50:$AJ$584,14,0)</f>
        <v>0</v>
      </c>
      <c r="AS234" s="140"/>
      <c r="AT234" s="140">
        <f>VLOOKUP(AK234,'[3]17見直し計画'!$A$50:$AJ$584,35,0)</f>
        <v>0</v>
      </c>
      <c r="AU234" s="140">
        <f>VLOOKUP(AK234,'[3]17見直し計画'!$A$50:$AJ$584,36,0)</f>
        <v>0</v>
      </c>
    </row>
    <row r="235" spans="1:47" ht="105" hidden="1" customHeight="1">
      <c r="B235" s="251" t="s">
        <v>805</v>
      </c>
      <c r="C235" s="251" t="s">
        <v>255</v>
      </c>
      <c r="D235" s="251" t="s">
        <v>256</v>
      </c>
      <c r="E235" s="177">
        <f t="shared" si="28"/>
        <v>149</v>
      </c>
      <c r="F235" s="122"/>
      <c r="G235" s="123"/>
      <c r="H235" s="252">
        <v>2200305</v>
      </c>
      <c r="I235" s="252"/>
      <c r="J235" s="253"/>
      <c r="K235" s="124" t="s">
        <v>1027</v>
      </c>
      <c r="L235" s="126"/>
      <c r="M235" s="126" t="s">
        <v>1021</v>
      </c>
      <c r="N235" s="127" t="s">
        <v>1003</v>
      </c>
      <c r="O235" s="254" t="s">
        <v>139</v>
      </c>
      <c r="P235" s="126" t="s">
        <v>122</v>
      </c>
      <c r="Q235" s="129"/>
      <c r="R235" s="130" t="s">
        <v>1028</v>
      </c>
      <c r="S235" s="131" t="s">
        <v>125</v>
      </c>
      <c r="T235" s="132">
        <v>40269</v>
      </c>
      <c r="U235" s="133" t="s">
        <v>1029</v>
      </c>
      <c r="V235" s="134" t="s">
        <v>1030</v>
      </c>
      <c r="W235" s="130" t="s">
        <v>1008</v>
      </c>
      <c r="X235" s="241">
        <v>1260000</v>
      </c>
      <c r="Y235" s="242">
        <v>1260000</v>
      </c>
      <c r="Z235" s="243">
        <f t="shared" si="27"/>
        <v>1</v>
      </c>
      <c r="AA235" s="250"/>
      <c r="AB235" s="244"/>
      <c r="AC235" s="245" t="s">
        <v>129</v>
      </c>
      <c r="AD235" s="127" t="s">
        <v>146</v>
      </c>
      <c r="AE235" s="138"/>
      <c r="AF235" s="125"/>
      <c r="AG235" s="202" t="s">
        <v>131</v>
      </c>
      <c r="AH235" s="139">
        <v>0</v>
      </c>
      <c r="AJ235" s="120"/>
      <c r="AK235" s="120" t="s">
        <v>147</v>
      </c>
      <c r="AL235" s="232" t="str">
        <f>VLOOKUP(AK235,'[3]17見直し計画'!$A$50:$AJ$584,6,0)</f>
        <v>　見直し計画策定以降の新規案件</v>
      </c>
      <c r="AM235" s="140">
        <f>VLOOKUP(AK235,'[3]17見直し計画'!$A$50:$AJ$584,8,0)</f>
        <v>0</v>
      </c>
      <c r="AN235" s="180"/>
      <c r="AO235" s="141">
        <f>VLOOKUP(AK235,'[3]17見直し計画'!$A$50:$AJ$584,11,0)</f>
        <v>0</v>
      </c>
      <c r="AP235" s="140">
        <f>VLOOKUP(AK235,'[3]17見直し計画'!$A$50:$AJ$584,12,0)</f>
        <v>0</v>
      </c>
      <c r="AQ235" s="140">
        <f>VLOOKUP(AK235,'[3]17見直し計画'!$A$50:$AJ$584,13,0)</f>
        <v>0</v>
      </c>
      <c r="AR235" s="140">
        <f>VLOOKUP(AK235,'[3]17見直し計画'!$A$50:$AJ$584,14,0)</f>
        <v>0</v>
      </c>
      <c r="AS235" s="140"/>
      <c r="AT235" s="140">
        <f>VLOOKUP(AK235,'[3]17見直し計画'!$A$50:$AJ$584,35,0)</f>
        <v>0</v>
      </c>
      <c r="AU235" s="140">
        <f>VLOOKUP(AK235,'[3]17見直し計画'!$A$50:$AJ$584,36,0)</f>
        <v>0</v>
      </c>
    </row>
    <row r="236" spans="1:47" ht="105" hidden="1" customHeight="1">
      <c r="B236" s="182"/>
      <c r="C236" s="182"/>
      <c r="D236" s="223" t="s">
        <v>752</v>
      </c>
      <c r="E236">
        <f t="shared" si="28"/>
        <v>150</v>
      </c>
      <c r="F236" s="185">
        <v>145</v>
      </c>
      <c r="G236" s="186">
        <v>145</v>
      </c>
      <c r="H236" s="187">
        <v>2200518</v>
      </c>
      <c r="I236" s="188"/>
      <c r="J236" s="187" t="s">
        <v>1031</v>
      </c>
      <c r="K236" s="187" t="s">
        <v>258</v>
      </c>
      <c r="L236" s="189"/>
      <c r="M236" s="189"/>
      <c r="N236" s="190" t="s">
        <v>230</v>
      </c>
      <c r="O236" s="191" t="s">
        <v>139</v>
      </c>
      <c r="P236" s="189" t="s">
        <v>231</v>
      </c>
      <c r="Q236" s="192" t="s">
        <v>1032</v>
      </c>
      <c r="R236" s="193" t="s">
        <v>1033</v>
      </c>
      <c r="S236" s="194" t="s">
        <v>125</v>
      </c>
      <c r="T236" s="195">
        <v>40270</v>
      </c>
      <c r="U236" s="196" t="s">
        <v>1034</v>
      </c>
      <c r="V236" s="197" t="s">
        <v>1035</v>
      </c>
      <c r="W236" s="181" t="s">
        <v>236</v>
      </c>
      <c r="X236" s="198">
        <v>65617000</v>
      </c>
      <c r="Y236" s="198">
        <v>63686385</v>
      </c>
      <c r="Z236" s="199">
        <v>0.97</v>
      </c>
      <c r="AA236" s="190"/>
      <c r="AB236" s="190"/>
      <c r="AC236" s="190">
        <v>8</v>
      </c>
      <c r="AD236" s="200" t="s">
        <v>237</v>
      </c>
      <c r="AE236" s="201"/>
      <c r="AF236" s="188"/>
      <c r="AG236" s="202" t="s">
        <v>131</v>
      </c>
      <c r="AH236" s="203" t="s">
        <v>238</v>
      </c>
      <c r="AI236" s="184"/>
      <c r="AJ236" s="182"/>
      <c r="AK236" s="182" t="s">
        <v>1036</v>
      </c>
      <c r="AL236" s="231" t="str">
        <f>VLOOKUP(AK236,'[3]17見直し計画'!$A$50:$AJ$584,6,0)</f>
        <v>株式会社　サンウティマ</v>
      </c>
      <c r="AM236" s="204" t="str">
        <f>VLOOKUP(AK236,'[3]17見直し計画'!$A$50:$AJ$584,8,0)</f>
        <v>海外ＴＶ局提供・海外広報用日本紹介ビデオ「ＪＡＰＡＮ　ＶＩＤＥＯ　ＴＯＰＩＣＳ」の制作及び複製</v>
      </c>
      <c r="AN236" s="224">
        <f>VLOOKUP(AK236,'[3]17見直し計画'!$A$50:$AJ$584,10,0)</f>
        <v>38483</v>
      </c>
      <c r="AO236" s="205">
        <f>VLOOKUP(AK236,'[3]17見直し計画'!$A$50:$AJ$584,11,0)</f>
        <v>62034588</v>
      </c>
      <c r="AP236" s="204" t="str">
        <f>VLOOKUP(AK236,'[3]17見直し計画'!$A$50:$AJ$584,12,0)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特定政令に該当）</v>
      </c>
      <c r="AQ236" s="204" t="str">
        <f>VLOOKUP(AK236,'[3]17見直し計画'!$A$50:$AJ$584,13,0)</f>
        <v>見直しの余地があるもの</v>
      </c>
      <c r="AR236" s="204" t="str">
        <f>VLOOKUP(AK236,'[3]17見直し計画'!$A$50:$AJ$584,14,0)</f>
        <v>企画招請を実施（１８年度以降も引き続き実施）</v>
      </c>
      <c r="AS236" s="204"/>
      <c r="AT236" s="204">
        <f>VLOOKUP(AK236,'[3]17見直し計画'!$A$50:$AJ$584,35,0)</f>
        <v>0</v>
      </c>
      <c r="AU236" s="204">
        <f>VLOOKUP(AK236,'[3]17見直し計画'!$A$50:$AJ$584,36,0)</f>
        <v>0</v>
      </c>
    </row>
    <row r="237" spans="1:47" ht="105" hidden="1" customHeight="1">
      <c r="B237" s="182"/>
      <c r="C237" s="182"/>
      <c r="D237" s="223" t="s">
        <v>421</v>
      </c>
      <c r="E237">
        <f t="shared" si="28"/>
        <v>151</v>
      </c>
      <c r="F237" s="185">
        <v>146</v>
      </c>
      <c r="G237" s="186">
        <v>146</v>
      </c>
      <c r="H237" s="187">
        <v>2200223</v>
      </c>
      <c r="I237" s="188"/>
      <c r="J237" s="187" t="s">
        <v>1037</v>
      </c>
      <c r="K237" s="187" t="s">
        <v>229</v>
      </c>
      <c r="L237" s="189"/>
      <c r="M237" s="189"/>
      <c r="N237" s="190" t="s">
        <v>230</v>
      </c>
      <c r="O237" s="191" t="s">
        <v>139</v>
      </c>
      <c r="P237" s="189" t="s">
        <v>231</v>
      </c>
      <c r="Q237" s="192" t="s">
        <v>1038</v>
      </c>
      <c r="R237" s="193" t="s">
        <v>1039</v>
      </c>
      <c r="S237" s="194" t="s">
        <v>125</v>
      </c>
      <c r="T237" s="195">
        <v>40273</v>
      </c>
      <c r="U237" s="196" t="s">
        <v>1040</v>
      </c>
      <c r="V237" s="197" t="s">
        <v>1041</v>
      </c>
      <c r="W237" s="181" t="s">
        <v>236</v>
      </c>
      <c r="X237" s="198">
        <v>18000000</v>
      </c>
      <c r="Y237" s="198">
        <v>17925665</v>
      </c>
      <c r="Z237" s="199">
        <v>0.995</v>
      </c>
      <c r="AA237" s="190"/>
      <c r="AB237" s="190"/>
      <c r="AC237" s="190">
        <v>1</v>
      </c>
      <c r="AD237" s="200" t="s">
        <v>631</v>
      </c>
      <c r="AE237" s="201"/>
      <c r="AF237" s="188"/>
      <c r="AG237" s="202" t="s">
        <v>131</v>
      </c>
      <c r="AH237" s="203" t="s">
        <v>171</v>
      </c>
      <c r="AI237" s="184"/>
      <c r="AJ237" s="182"/>
      <c r="AK237" s="182" t="s">
        <v>147</v>
      </c>
      <c r="AL237" s="231" t="str">
        <f>VLOOKUP(AK237,'[3]17見直し計画'!$A$50:$AJ$584,6,0)</f>
        <v>　見直し計画策定以降の新規案件</v>
      </c>
      <c r="AM237" s="204">
        <f>VLOOKUP(AK237,'[3]17見直し計画'!$A$50:$AJ$584,8,0)</f>
        <v>0</v>
      </c>
      <c r="AN237" s="224"/>
      <c r="AO237" s="205">
        <f>VLOOKUP(AK237,'[3]17見直し計画'!$A$50:$AJ$584,11,0)</f>
        <v>0</v>
      </c>
      <c r="AP237" s="204">
        <f>VLOOKUP(AK237,'[3]17見直し計画'!$A$50:$AJ$584,12,0)</f>
        <v>0</v>
      </c>
      <c r="AQ237" s="204">
        <f>VLOOKUP(AK237,'[3]17見直し計画'!$A$50:$AJ$584,13,0)</f>
        <v>0</v>
      </c>
      <c r="AR237" s="204">
        <f>VLOOKUP(AK237,'[3]17見直し計画'!$A$50:$AJ$584,14,0)</f>
        <v>0</v>
      </c>
      <c r="AS237" s="204"/>
      <c r="AT237" s="204">
        <f>VLOOKUP(AK237,'[3]17見直し計画'!$A$50:$AJ$584,35,0)</f>
        <v>0</v>
      </c>
      <c r="AU237" s="204">
        <f>VLOOKUP(AK237,'[3]17見直し計画'!$A$50:$AJ$584,36,0)</f>
        <v>0</v>
      </c>
    </row>
    <row r="238" spans="1:47" ht="105" hidden="1" customHeight="1">
      <c r="B238" s="182"/>
      <c r="C238" s="182"/>
      <c r="D238" s="223" t="s">
        <v>421</v>
      </c>
      <c r="E238">
        <f t="shared" si="28"/>
        <v>152</v>
      </c>
      <c r="F238" s="185">
        <v>147</v>
      </c>
      <c r="G238" s="186">
        <v>147</v>
      </c>
      <c r="H238" s="187">
        <v>2200075</v>
      </c>
      <c r="I238" s="188"/>
      <c r="J238" s="187" t="s">
        <v>1042</v>
      </c>
      <c r="K238" s="187" t="s">
        <v>746</v>
      </c>
      <c r="L238" s="189"/>
      <c r="M238" s="189"/>
      <c r="N238" s="190" t="s">
        <v>230</v>
      </c>
      <c r="O238" s="191" t="s">
        <v>139</v>
      </c>
      <c r="P238" s="189" t="s">
        <v>231</v>
      </c>
      <c r="Q238" s="192" t="s">
        <v>1043</v>
      </c>
      <c r="R238" s="193" t="s">
        <v>1044</v>
      </c>
      <c r="S238" s="194" t="s">
        <v>125</v>
      </c>
      <c r="T238" s="195">
        <v>40273</v>
      </c>
      <c r="U238" s="196" t="s">
        <v>749</v>
      </c>
      <c r="V238" s="197" t="s">
        <v>750</v>
      </c>
      <c r="W238" s="181" t="s">
        <v>236</v>
      </c>
      <c r="X238" s="198">
        <v>3654000</v>
      </c>
      <c r="Y238" s="198">
        <v>3591000</v>
      </c>
      <c r="Z238" s="199">
        <v>0.98199999999999998</v>
      </c>
      <c r="AA238" s="190"/>
      <c r="AB238" s="190"/>
      <c r="AC238" s="190">
        <v>4</v>
      </c>
      <c r="AD238" s="200" t="s">
        <v>237</v>
      </c>
      <c r="AE238" s="201"/>
      <c r="AF238" s="188"/>
      <c r="AG238" s="202" t="s">
        <v>131</v>
      </c>
      <c r="AH238" s="203" t="s">
        <v>238</v>
      </c>
      <c r="AI238" s="184"/>
      <c r="AJ238" s="182"/>
      <c r="AK238" s="182" t="s">
        <v>147</v>
      </c>
      <c r="AL238" s="231" t="str">
        <f>VLOOKUP(AK238,'[3]17見直し計画'!$A$50:$AJ$584,6,0)</f>
        <v>　見直し計画策定以降の新規案件</v>
      </c>
      <c r="AM238" s="204">
        <f>VLOOKUP(AK238,'[3]17見直し計画'!$A$50:$AJ$584,8,0)</f>
        <v>0</v>
      </c>
      <c r="AN238" s="224"/>
      <c r="AO238" s="205">
        <f>VLOOKUP(AK238,'[3]17見直し計画'!$A$50:$AJ$584,11,0)</f>
        <v>0</v>
      </c>
      <c r="AP238" s="204">
        <f>VLOOKUP(AK238,'[3]17見直し計画'!$A$50:$AJ$584,12,0)</f>
        <v>0</v>
      </c>
      <c r="AQ238" s="204">
        <f>VLOOKUP(AK238,'[3]17見直し計画'!$A$50:$AJ$584,13,0)</f>
        <v>0</v>
      </c>
      <c r="AR238" s="204">
        <f>VLOOKUP(AK238,'[3]17見直し計画'!$A$50:$AJ$584,14,0)</f>
        <v>0</v>
      </c>
      <c r="AS238" s="204"/>
      <c r="AT238" s="204">
        <f>VLOOKUP(AK238,'[3]17見直し計画'!$A$50:$AJ$584,35,0)</f>
        <v>0</v>
      </c>
      <c r="AU238" s="204">
        <f>VLOOKUP(AK238,'[3]17見直し計画'!$A$50:$AJ$584,36,0)</f>
        <v>0</v>
      </c>
    </row>
    <row r="239" spans="1:47" ht="105" hidden="1" customHeight="1">
      <c r="B239" s="182"/>
      <c r="C239" s="182"/>
      <c r="D239" s="223" t="s">
        <v>421</v>
      </c>
      <c r="E239">
        <f t="shared" si="28"/>
        <v>153</v>
      </c>
      <c r="F239" s="185">
        <v>148</v>
      </c>
      <c r="G239" s="186">
        <v>148</v>
      </c>
      <c r="H239" s="187">
        <v>2200235</v>
      </c>
      <c r="I239" s="188"/>
      <c r="J239" s="187" t="s">
        <v>1045</v>
      </c>
      <c r="K239" s="187" t="s">
        <v>119</v>
      </c>
      <c r="L239" s="189"/>
      <c r="M239" s="189"/>
      <c r="N239" s="190" t="s">
        <v>230</v>
      </c>
      <c r="O239" s="191" t="s">
        <v>139</v>
      </c>
      <c r="P239" s="189" t="s">
        <v>231</v>
      </c>
      <c r="Q239" s="192" t="s">
        <v>1046</v>
      </c>
      <c r="R239" s="193" t="s">
        <v>1047</v>
      </c>
      <c r="S239" s="194" t="s">
        <v>125</v>
      </c>
      <c r="T239" s="195">
        <v>40274</v>
      </c>
      <c r="U239" s="196" t="s">
        <v>749</v>
      </c>
      <c r="V239" s="197" t="s">
        <v>1048</v>
      </c>
      <c r="W239" s="181" t="s">
        <v>236</v>
      </c>
      <c r="X239" s="198">
        <v>4269000</v>
      </c>
      <c r="Y239" s="198">
        <v>3920000</v>
      </c>
      <c r="Z239" s="199">
        <v>0.91800000000000004</v>
      </c>
      <c r="AA239" s="190"/>
      <c r="AB239" s="190"/>
      <c r="AC239" s="190">
        <v>2</v>
      </c>
      <c r="AD239" s="200" t="s">
        <v>427</v>
      </c>
      <c r="AE239" s="201"/>
      <c r="AF239" s="188"/>
      <c r="AG239" s="202" t="s">
        <v>131</v>
      </c>
      <c r="AH239" s="203" t="s">
        <v>428</v>
      </c>
      <c r="AI239" s="184"/>
      <c r="AJ239" s="182"/>
      <c r="AK239" s="182" t="s">
        <v>147</v>
      </c>
      <c r="AL239" s="231" t="str">
        <f>VLOOKUP(AK239,'[3]17見直し計画'!$A$50:$AJ$584,6,0)</f>
        <v>　見直し計画策定以降の新規案件</v>
      </c>
      <c r="AM239" s="204">
        <f>VLOOKUP(AK239,'[3]17見直し計画'!$A$50:$AJ$584,8,0)</f>
        <v>0</v>
      </c>
      <c r="AN239" s="224"/>
      <c r="AO239" s="205">
        <f>VLOOKUP(AK239,'[3]17見直し計画'!$A$50:$AJ$584,11,0)</f>
        <v>0</v>
      </c>
      <c r="AP239" s="204">
        <f>VLOOKUP(AK239,'[3]17見直し計画'!$A$50:$AJ$584,12,0)</f>
        <v>0</v>
      </c>
      <c r="AQ239" s="204">
        <f>VLOOKUP(AK239,'[3]17見直し計画'!$A$50:$AJ$584,13,0)</f>
        <v>0</v>
      </c>
      <c r="AR239" s="204">
        <f>VLOOKUP(AK239,'[3]17見直し計画'!$A$50:$AJ$584,14,0)</f>
        <v>0</v>
      </c>
      <c r="AS239" s="204"/>
      <c r="AT239" s="204">
        <f>VLOOKUP(AK239,'[3]17見直し計画'!$A$50:$AJ$584,35,0)</f>
        <v>0</v>
      </c>
      <c r="AU239" s="204">
        <f>VLOOKUP(AK239,'[3]17見直し計画'!$A$50:$AJ$584,36,0)</f>
        <v>0</v>
      </c>
    </row>
    <row r="240" spans="1:47" ht="105" hidden="1" customHeight="1">
      <c r="B240" s="126" t="s">
        <v>134</v>
      </c>
      <c r="C240" s="120" t="s">
        <v>135</v>
      </c>
      <c r="D240" s="143" t="s">
        <v>136</v>
      </c>
      <c r="E240">
        <f t="shared" si="28"/>
        <v>154</v>
      </c>
      <c r="F240" s="122">
        <v>149</v>
      </c>
      <c r="G240" s="123">
        <v>149</v>
      </c>
      <c r="H240" s="124">
        <v>2200337</v>
      </c>
      <c r="I240" s="125"/>
      <c r="J240" s="124" t="s">
        <v>1049</v>
      </c>
      <c r="K240" s="124" t="s">
        <v>195</v>
      </c>
      <c r="L240" s="126"/>
      <c r="M240" s="126"/>
      <c r="N240" s="127" t="s">
        <v>138</v>
      </c>
      <c r="O240" s="128" t="s">
        <v>139</v>
      </c>
      <c r="P240" s="126" t="s">
        <v>122</v>
      </c>
      <c r="Q240" s="129" t="s">
        <v>1050</v>
      </c>
      <c r="R240" s="130" t="s">
        <v>1051</v>
      </c>
      <c r="S240" s="131" t="s">
        <v>125</v>
      </c>
      <c r="T240" s="132">
        <v>40274</v>
      </c>
      <c r="U240" s="133" t="s">
        <v>303</v>
      </c>
      <c r="V240" s="134" t="s">
        <v>304</v>
      </c>
      <c r="W240" s="118" t="s">
        <v>1052</v>
      </c>
      <c r="X240" s="135">
        <v>2456055</v>
      </c>
      <c r="Y240" s="135">
        <v>2456055</v>
      </c>
      <c r="Z240" s="136">
        <v>1</v>
      </c>
      <c r="AA240" s="127"/>
      <c r="AB240" s="127"/>
      <c r="AC240" s="127" t="s">
        <v>129</v>
      </c>
      <c r="AD240" s="137" t="s">
        <v>146</v>
      </c>
      <c r="AE240" s="138"/>
      <c r="AF240" s="125"/>
      <c r="AG240" s="117" t="s">
        <v>131</v>
      </c>
      <c r="AH240" s="139" t="s">
        <v>132</v>
      </c>
      <c r="AJ240" s="120"/>
      <c r="AK240" s="120" t="s">
        <v>147</v>
      </c>
      <c r="AL240" s="232" t="str">
        <f>VLOOKUP(AK240,'[3]17見直し計画'!$A$50:$AJ$584,6,0)</f>
        <v>　見直し計画策定以降の新規案件</v>
      </c>
      <c r="AM240" s="140">
        <f>VLOOKUP(AK240,'[3]17見直し計画'!$A$50:$AJ$584,8,0)</f>
        <v>0</v>
      </c>
      <c r="AN240" s="180"/>
      <c r="AO240" s="141">
        <f>VLOOKUP(AK240,'[3]17見直し計画'!$A$50:$AJ$584,11,0)</f>
        <v>0</v>
      </c>
      <c r="AP240" s="140">
        <f>VLOOKUP(AK240,'[3]17見直し計画'!$A$50:$AJ$584,12,0)</f>
        <v>0</v>
      </c>
      <c r="AQ240" s="140">
        <f>VLOOKUP(AK240,'[3]17見直し計画'!$A$50:$AJ$584,13,0)</f>
        <v>0</v>
      </c>
      <c r="AR240" s="140">
        <f>VLOOKUP(AK240,'[3]17見直し計画'!$A$50:$AJ$584,14,0)</f>
        <v>0</v>
      </c>
      <c r="AS240" s="140"/>
      <c r="AT240" s="140">
        <f>VLOOKUP(AK240,'[3]17見直し計画'!$A$50:$AJ$584,35,0)</f>
        <v>0</v>
      </c>
      <c r="AU240" s="140">
        <f>VLOOKUP(AK240,'[3]17見直し計画'!$A$50:$AJ$584,36,0)</f>
        <v>0</v>
      </c>
    </row>
    <row r="241" spans="2:47" ht="105" hidden="1" customHeight="1">
      <c r="B241" s="152"/>
      <c r="C241" s="152"/>
      <c r="D241" s="153" t="s">
        <v>1053</v>
      </c>
      <c r="E241">
        <f t="shared" si="28"/>
        <v>155</v>
      </c>
      <c r="F241" s="155">
        <v>150</v>
      </c>
      <c r="G241" s="156">
        <v>150</v>
      </c>
      <c r="H241" s="157">
        <v>2200284</v>
      </c>
      <c r="I241" s="158"/>
      <c r="J241" s="157" t="s">
        <v>1054</v>
      </c>
      <c r="K241" s="157" t="s">
        <v>1055</v>
      </c>
      <c r="L241" s="159"/>
      <c r="M241" s="159"/>
      <c r="N241" s="160" t="s">
        <v>266</v>
      </c>
      <c r="O241" s="161" t="s">
        <v>139</v>
      </c>
      <c r="P241" s="159" t="s">
        <v>163</v>
      </c>
      <c r="Q241" s="162" t="s">
        <v>1056</v>
      </c>
      <c r="R241" s="163" t="s">
        <v>1057</v>
      </c>
      <c r="S241" s="164" t="s">
        <v>125</v>
      </c>
      <c r="T241" s="165">
        <v>40276</v>
      </c>
      <c r="U241" s="166" t="s">
        <v>1058</v>
      </c>
      <c r="V241" s="167" t="s">
        <v>1059</v>
      </c>
      <c r="W241" s="151" t="s">
        <v>168</v>
      </c>
      <c r="X241" s="168">
        <v>41529071</v>
      </c>
      <c r="Y241" s="168">
        <v>41529071</v>
      </c>
      <c r="Z241" s="169">
        <v>1</v>
      </c>
      <c r="AA241" s="160"/>
      <c r="AB241" s="160"/>
      <c r="AC241" s="160" t="s">
        <v>169</v>
      </c>
      <c r="AD241" s="170" t="s">
        <v>271</v>
      </c>
      <c r="AE241" s="171"/>
      <c r="AF241" s="158"/>
      <c r="AG241" s="172" t="s">
        <v>131</v>
      </c>
      <c r="AH241" s="173" t="s">
        <v>171</v>
      </c>
      <c r="AI241" s="154"/>
      <c r="AJ241" s="152"/>
      <c r="AK241" s="152" t="s">
        <v>147</v>
      </c>
      <c r="AL241" s="233" t="str">
        <f>VLOOKUP(AK241,'[3]17見直し計画'!$A$50:$AJ$584,6,0)</f>
        <v>　見直し計画策定以降の新規案件</v>
      </c>
      <c r="AM241" s="174">
        <f>VLOOKUP(AK241,'[3]17見直し計画'!$A$50:$AJ$584,8,0)</f>
        <v>0</v>
      </c>
      <c r="AN241" s="225"/>
      <c r="AO241" s="175">
        <f>VLOOKUP(AK241,'[3]17見直し計画'!$A$50:$AJ$584,11,0)</f>
        <v>0</v>
      </c>
      <c r="AP241" s="174">
        <f>VLOOKUP(AK241,'[3]17見直し計画'!$A$50:$AJ$584,12,0)</f>
        <v>0</v>
      </c>
      <c r="AQ241" s="174">
        <f>VLOOKUP(AK241,'[3]17見直し計画'!$A$50:$AJ$584,13,0)</f>
        <v>0</v>
      </c>
      <c r="AR241" s="174">
        <f>VLOOKUP(AK241,'[3]17見直し計画'!$A$50:$AJ$584,14,0)</f>
        <v>0</v>
      </c>
      <c r="AS241" s="174"/>
      <c r="AT241" s="174">
        <f>VLOOKUP(AK241,'[3]17見直し計画'!$A$50:$AJ$584,35,0)</f>
        <v>0</v>
      </c>
      <c r="AU241" s="174">
        <f>VLOOKUP(AK241,'[3]17見直し計画'!$A$50:$AJ$584,36,0)</f>
        <v>0</v>
      </c>
    </row>
    <row r="242" spans="2:47" ht="105" hidden="1" customHeight="1">
      <c r="B242" s="152"/>
      <c r="C242" s="152"/>
      <c r="D242" s="153" t="s">
        <v>159</v>
      </c>
      <c r="E242">
        <f t="shared" si="28"/>
        <v>156</v>
      </c>
      <c r="F242" s="155">
        <v>151</v>
      </c>
      <c r="G242" s="156">
        <v>151</v>
      </c>
      <c r="H242" s="157">
        <v>2200219</v>
      </c>
      <c r="I242" s="158"/>
      <c r="J242" s="157" t="s">
        <v>1060</v>
      </c>
      <c r="K242" s="157" t="s">
        <v>161</v>
      </c>
      <c r="L242" s="159"/>
      <c r="M242" s="159"/>
      <c r="N242" s="160" t="s">
        <v>162</v>
      </c>
      <c r="O242" s="161" t="s">
        <v>121</v>
      </c>
      <c r="P242" s="159" t="s">
        <v>163</v>
      </c>
      <c r="Q242" s="162" t="s">
        <v>1061</v>
      </c>
      <c r="R242" s="163" t="s">
        <v>1062</v>
      </c>
      <c r="S242" s="164" t="s">
        <v>125</v>
      </c>
      <c r="T242" s="165">
        <v>40276</v>
      </c>
      <c r="U242" s="166" t="s">
        <v>166</v>
      </c>
      <c r="V242" s="167" t="s">
        <v>167</v>
      </c>
      <c r="W242" s="151" t="s">
        <v>168</v>
      </c>
      <c r="X242" s="168">
        <v>7419258</v>
      </c>
      <c r="Y242" s="168">
        <v>7326858</v>
      </c>
      <c r="Z242" s="169">
        <v>0.98699999999999999</v>
      </c>
      <c r="AA242" s="160">
        <v>2</v>
      </c>
      <c r="AB242" s="160"/>
      <c r="AC242" s="160" t="s">
        <v>169</v>
      </c>
      <c r="AD242" s="170" t="s">
        <v>170</v>
      </c>
      <c r="AE242" s="171"/>
      <c r="AF242" s="158"/>
      <c r="AG242" s="172" t="s">
        <v>131</v>
      </c>
      <c r="AH242" s="173" t="s">
        <v>171</v>
      </c>
      <c r="AI242" s="154"/>
      <c r="AJ242" s="152"/>
      <c r="AK242" s="152" t="s">
        <v>172</v>
      </c>
      <c r="AL242" s="233" t="str">
        <f>VLOOKUP(AK242,'[3]17見直し計画'!$A$50:$AJ$584,6,0)</f>
        <v>財団法人　
日本国際問題研究所</v>
      </c>
      <c r="AM242" s="174" t="str">
        <f>VLOOKUP(AK242,'[3]17見直し計画'!$A$50:$AJ$584,8,0)</f>
        <v>軍縮・不拡散調査研究等の委嘱</v>
      </c>
      <c r="AN242" s="225" t="str">
        <f>VLOOKUP(AK242,'[3]17見直し計画'!$A$50:$AJ$584,10,0)</f>
        <v>平成17/04/01</v>
      </c>
      <c r="AO242" s="175">
        <f>VLOOKUP(AK242,'[3]17見直し計画'!$A$50:$AJ$584,11,0)</f>
        <v>20132333</v>
      </c>
      <c r="AP242" s="174" t="str">
        <f>VLOOKUP(AK242,'[3]17見直し計画'!$A$50:$AJ$584,12,0)</f>
        <v>軍備管理・軍縮・不拡散分野全般で、総合的な知見及び国内外の専門家・研究者との高度かつ広範囲のネットワークを有しているシンクタンクは日本国際問題研究所軍縮不拡散・促進センター以外にない。また、同センターにこれまでの調査研究で得た専門的な知見を活用し、ノウハウの蓄積を図らしめることは、当省の専門的知識の蓄積に資すると共に、民間研究者党の利益にも適う（会計法第２９条の３第４項）。</v>
      </c>
      <c r="AQ242" s="174" t="str">
        <f>VLOOKUP(AK242,'[3]17見直し計画'!$A$50:$AJ$584,13,0)</f>
        <v>見直しの余地があるもの</v>
      </c>
      <c r="AR242" s="174" t="str">
        <f>VLOOKUP(AK242,'[3]17見直し計画'!$A$50:$AJ$584,14,0)</f>
        <v>一般競争入札等に移行するための準備に時間を要するもの（１９年度以降において公募実施）</v>
      </c>
      <c r="AS242" s="174"/>
      <c r="AT242" s="174">
        <f>VLOOKUP(AK242,'[3]17見直し計画'!$A$50:$AJ$584,35,0)</f>
        <v>0</v>
      </c>
      <c r="AU242" s="174">
        <f>VLOOKUP(AK242,'[3]17見直し計画'!$A$50:$AJ$584,36,0)</f>
        <v>0</v>
      </c>
    </row>
    <row r="243" spans="2:47" ht="105" hidden="1" customHeight="1">
      <c r="B243" s="182"/>
      <c r="C243" s="182"/>
      <c r="D243" s="223" t="s">
        <v>752</v>
      </c>
      <c r="E243">
        <f t="shared" si="28"/>
        <v>157</v>
      </c>
      <c r="F243" s="185">
        <v>152</v>
      </c>
      <c r="G243" s="186">
        <v>152</v>
      </c>
      <c r="H243" s="187">
        <v>2200217</v>
      </c>
      <c r="I243" s="188"/>
      <c r="J243" s="187"/>
      <c r="K243" s="187" t="s">
        <v>258</v>
      </c>
      <c r="L243" s="189"/>
      <c r="M243" s="189"/>
      <c r="N243" s="190" t="s">
        <v>230</v>
      </c>
      <c r="O243" s="191" t="s">
        <v>139</v>
      </c>
      <c r="P243" s="189" t="s">
        <v>231</v>
      </c>
      <c r="Q243" s="192" t="s">
        <v>1063</v>
      </c>
      <c r="R243" s="193" t="s">
        <v>1064</v>
      </c>
      <c r="S243" s="194" t="s">
        <v>125</v>
      </c>
      <c r="T243" s="195">
        <v>40276</v>
      </c>
      <c r="U243" s="196" t="s">
        <v>1065</v>
      </c>
      <c r="V243" s="197" t="s">
        <v>1035</v>
      </c>
      <c r="W243" s="181" t="s">
        <v>236</v>
      </c>
      <c r="X243" s="198" t="s">
        <v>129</v>
      </c>
      <c r="Y243" s="227">
        <v>49772229</v>
      </c>
      <c r="Z243" s="199" t="e">
        <v>#VALUE!</v>
      </c>
      <c r="AA243" s="190"/>
      <c r="AB243" s="190" t="s">
        <v>145</v>
      </c>
      <c r="AC243" s="190">
        <v>2</v>
      </c>
      <c r="AD243" s="200" t="s">
        <v>427</v>
      </c>
      <c r="AE243" s="201"/>
      <c r="AF243" s="188"/>
      <c r="AG243" s="202" t="s">
        <v>131</v>
      </c>
      <c r="AH243" s="203" t="s">
        <v>428</v>
      </c>
      <c r="AI243" s="184"/>
      <c r="AJ243" s="182"/>
      <c r="AK243" s="182" t="s">
        <v>1066</v>
      </c>
      <c r="AL243" s="231" t="str">
        <f>VLOOKUP(AK243,'[3]17見直し計画'!$A$50:$AJ$584,6,0)</f>
        <v>株式会社サンウティマ</v>
      </c>
      <c r="AM243" s="204" t="str">
        <f>VLOOKUP(AK243,'[3]17見直し計画'!$A$50:$AJ$584,8,0)</f>
        <v>外国テレビチーム接遇及び取材協力業務委託単価契約（※11件）</v>
      </c>
      <c r="AN243" s="224">
        <f>VLOOKUP(AK243,'[3]17見直し計画'!$A$50:$AJ$584,10,0)</f>
        <v>38448</v>
      </c>
      <c r="AO243" s="205">
        <f>VLOOKUP(AK243,'[3]17見直し計画'!$A$50:$AJ$584,11,0)</f>
        <v>58179635</v>
      </c>
      <c r="AP243" s="204" t="str">
        <f>VLOOKUP(AK243,'[3]17見直し計画'!$A$50:$AJ$584,12,0)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43" s="204" t="str">
        <f>VLOOKUP(AK243,'[3]17見直し計画'!$A$50:$AJ$584,13,0)</f>
        <v>見直しの余地があるもの</v>
      </c>
      <c r="AR243" s="204" t="str">
        <f>VLOOKUP(AK243,'[3]17見直し計画'!$A$50:$AJ$584,14,0)</f>
        <v>企画招請を実施（１８年度においても引き続き実施）</v>
      </c>
      <c r="AS243" s="204"/>
      <c r="AT243" s="204">
        <f>VLOOKUP(AK243,'[3]17見直し計画'!$A$50:$AJ$584,35,0)</f>
        <v>0</v>
      </c>
      <c r="AU243" s="204">
        <f>VLOOKUP(AK243,'[3]17見直し計画'!$A$50:$AJ$584,36,0)</f>
        <v>0</v>
      </c>
    </row>
    <row r="244" spans="2:47" ht="105" customHeight="1">
      <c r="B244" s="143" t="s">
        <v>1067</v>
      </c>
      <c r="C244" s="143" t="s">
        <v>550</v>
      </c>
      <c r="D244" s="143" t="s">
        <v>351</v>
      </c>
      <c r="E244">
        <f t="shared" si="28"/>
        <v>158</v>
      </c>
      <c r="F244" s="122">
        <v>153</v>
      </c>
      <c r="G244" s="123">
        <v>153</v>
      </c>
      <c r="H244" s="124">
        <v>2200394</v>
      </c>
      <c r="I244" s="125"/>
      <c r="J244" s="124" t="s">
        <v>1068</v>
      </c>
      <c r="K244" s="124" t="s">
        <v>1069</v>
      </c>
      <c r="L244" s="126"/>
      <c r="M244" s="126"/>
      <c r="N244" s="127" t="s">
        <v>1070</v>
      </c>
      <c r="O244" s="128" t="s">
        <v>139</v>
      </c>
      <c r="P244" s="126" t="s">
        <v>1071</v>
      </c>
      <c r="Q244" s="129" t="s">
        <v>1072</v>
      </c>
      <c r="R244" s="130" t="s">
        <v>1073</v>
      </c>
      <c r="S244" s="131" t="s">
        <v>125</v>
      </c>
      <c r="T244" s="132">
        <v>40277</v>
      </c>
      <c r="U244" s="133" t="s">
        <v>1074</v>
      </c>
      <c r="V244" s="134" t="s">
        <v>1075</v>
      </c>
      <c r="W244" s="118" t="s">
        <v>1076</v>
      </c>
      <c r="X244" s="135">
        <v>2630800</v>
      </c>
      <c r="Y244" s="135">
        <v>2420800</v>
      </c>
      <c r="Z244" s="136">
        <v>0.92</v>
      </c>
      <c r="AA244" s="127"/>
      <c r="AB244" s="127"/>
      <c r="AC244" s="127" t="s">
        <v>129</v>
      </c>
      <c r="AD244" s="137" t="s">
        <v>1077</v>
      </c>
      <c r="AE244" s="138"/>
      <c r="AF244" s="125"/>
      <c r="AG244" s="117" t="s">
        <v>131</v>
      </c>
      <c r="AH244" s="139" t="s">
        <v>132</v>
      </c>
      <c r="AJ244" s="120"/>
      <c r="AK244" s="120" t="s">
        <v>1078</v>
      </c>
      <c r="AL244" s="232" t="str">
        <f>VLOOKUP(AK244,'[3]17見直し計画'!$A$50:$AJ$584,6,0)</f>
        <v>株式会社リンガバンク</v>
      </c>
      <c r="AM244" s="140" t="str">
        <f>VLOOKUP(AK244,'[3]17見直し計画'!$A$50:$AJ$584,8,0)</f>
        <v>政府要人の国際会議出席に係る通訳業務（※１２件）</v>
      </c>
      <c r="AN244" s="180">
        <f>VLOOKUP(AK244,'[3]17見直し計画'!$A$50:$AJ$584,10,0)</f>
        <v>38443</v>
      </c>
      <c r="AO244" s="141">
        <f>VLOOKUP(AK244,'[3]17見直し計画'!$A$50:$AJ$584,11,0)</f>
        <v>28275710</v>
      </c>
      <c r="AP244" s="140" t="str">
        <f>VLOOKUP(AK244,'[3]17見直し計画'!$A$50:$AJ$584,12,0)</f>
        <v>国際会議における政府要人の発言の重要性に鑑み、その同時通訳者は高い技術、専門性、公式通訳の豊富な経験に基づき、最も確実かつ適任な者を充てる必要があることから、該当する者を擁する同社と随意契約を行った（会計法第２９条の３第４項）。</v>
      </c>
      <c r="AQ244" s="140" t="str">
        <f>VLOOKUP(AK244,'[3]17見直し計画'!$A$50:$AJ$584,13,0)</f>
        <v>その他のもの</v>
      </c>
      <c r="AR244" s="140" t="str">
        <f>VLOOKUP(AK244,'[3]17見直し計画'!$A$50:$AJ$584,14,0)</f>
        <v>随意契約によらざるを得ないもの</v>
      </c>
      <c r="AS244" s="140"/>
      <c r="AT244" s="140" t="str">
        <f>VLOOKUP(AK244,'[3]17見直し計画'!$A$50:$AJ$584,35,0)</f>
        <v>相手国との関係から業務の質を確保することについて特段の配慮を要するもの
行政目的を達成するために不可欠な業務を提供することが可能な者から提供を受けるもの</v>
      </c>
      <c r="AU244" s="140" t="str">
        <f>VLOOKUP(AK244,'[3]17見直し計画'!$A$50:$AJ$584,36,0)</f>
        <v>ニ（ヘ）
に準ずる</v>
      </c>
    </row>
    <row r="245" spans="2:47" ht="105" hidden="1" customHeight="1">
      <c r="B245" s="126" t="s">
        <v>1079</v>
      </c>
      <c r="C245" s="120" t="s">
        <v>135</v>
      </c>
      <c r="D245" s="143" t="s">
        <v>136</v>
      </c>
      <c r="E245">
        <f>SUM(E244+1)</f>
        <v>159</v>
      </c>
      <c r="F245" s="236">
        <v>154</v>
      </c>
      <c r="G245" s="237">
        <v>154</v>
      </c>
      <c r="H245" s="124">
        <v>2200034</v>
      </c>
      <c r="I245" s="125"/>
      <c r="J245" s="124"/>
      <c r="K245" s="124" t="s">
        <v>137</v>
      </c>
      <c r="L245" s="126"/>
      <c r="M245" s="126"/>
      <c r="N245" s="127" t="s">
        <v>979</v>
      </c>
      <c r="O245" s="128" t="s">
        <v>980</v>
      </c>
      <c r="P245" s="126" t="s">
        <v>122</v>
      </c>
      <c r="Q245" s="129" t="s">
        <v>1080</v>
      </c>
      <c r="R245" s="130" t="s">
        <v>1081</v>
      </c>
      <c r="S245" s="131" t="s">
        <v>125</v>
      </c>
      <c r="T245" s="132">
        <v>40280</v>
      </c>
      <c r="U245" s="133" t="s">
        <v>983</v>
      </c>
      <c r="V245" s="134" t="s">
        <v>1082</v>
      </c>
      <c r="W245" s="118" t="s">
        <v>1083</v>
      </c>
      <c r="X245" s="135" t="s">
        <v>129</v>
      </c>
      <c r="Y245" s="255">
        <v>6288467118</v>
      </c>
      <c r="Z245" s="136" t="e">
        <v>#VALUE!</v>
      </c>
      <c r="AA245" s="127"/>
      <c r="AB245" s="127" t="s">
        <v>145</v>
      </c>
      <c r="AC245" s="127" t="s">
        <v>129</v>
      </c>
      <c r="AD245" s="137" t="s">
        <v>987</v>
      </c>
      <c r="AE245" s="138"/>
      <c r="AF245" s="125"/>
      <c r="AG245" s="117" t="s">
        <v>131</v>
      </c>
      <c r="AH245" s="139" t="s">
        <v>132</v>
      </c>
      <c r="AJ245" s="120"/>
      <c r="AK245" s="120" t="s">
        <v>147</v>
      </c>
      <c r="AL245" s="232" t="str">
        <f>VLOOKUP(AK245,'[3]17見直し計画'!$A$50:$AJ$584,6,0)</f>
        <v>　見直し計画策定以降の新規案件</v>
      </c>
      <c r="AM245" s="140">
        <f>VLOOKUP(AK245,'[3]17見直し計画'!$A$50:$AJ$584,8,0)</f>
        <v>0</v>
      </c>
      <c r="AN245" s="180"/>
      <c r="AO245" s="141">
        <f>VLOOKUP(AK245,'[3]17見直し計画'!$A$50:$AJ$584,11,0)</f>
        <v>0</v>
      </c>
      <c r="AP245" s="140">
        <f>VLOOKUP(AK245,'[3]17見直し計画'!$A$50:$AJ$584,12,0)</f>
        <v>0</v>
      </c>
      <c r="AQ245" s="140">
        <f>VLOOKUP(AK245,'[3]17見直し計画'!$A$50:$AJ$584,13,0)</f>
        <v>0</v>
      </c>
      <c r="AR245" s="140">
        <f>VLOOKUP(AK245,'[3]17見直し計画'!$A$50:$AJ$584,14,0)</f>
        <v>0</v>
      </c>
      <c r="AS245" s="140"/>
      <c r="AT245" s="140">
        <f>VLOOKUP(AK245,'[3]17見直し計画'!$A$50:$AJ$584,35,0)</f>
        <v>0</v>
      </c>
      <c r="AU245" s="140">
        <f>VLOOKUP(AK245,'[3]17見直し計画'!$A$50:$AJ$584,36,0)</f>
        <v>0</v>
      </c>
    </row>
    <row r="246" spans="2:47" ht="105" hidden="1" customHeight="1">
      <c r="B246" s="182"/>
      <c r="C246" s="182"/>
      <c r="D246" s="223" t="s">
        <v>459</v>
      </c>
      <c r="E246">
        <f t="shared" si="28"/>
        <v>160</v>
      </c>
      <c r="F246" s="185">
        <v>155</v>
      </c>
      <c r="G246" s="186">
        <v>155</v>
      </c>
      <c r="H246" s="187">
        <v>2200220</v>
      </c>
      <c r="I246" s="188"/>
      <c r="J246" s="187" t="s">
        <v>1084</v>
      </c>
      <c r="K246" s="187" t="s">
        <v>1085</v>
      </c>
      <c r="L246" s="189"/>
      <c r="M246" s="189"/>
      <c r="N246" s="190" t="s">
        <v>230</v>
      </c>
      <c r="O246" s="191" t="s">
        <v>139</v>
      </c>
      <c r="P246" s="189" t="s">
        <v>231</v>
      </c>
      <c r="Q246" s="192" t="s">
        <v>1086</v>
      </c>
      <c r="R246" s="193" t="s">
        <v>1087</v>
      </c>
      <c r="S246" s="194" t="s">
        <v>125</v>
      </c>
      <c r="T246" s="195">
        <v>40281</v>
      </c>
      <c r="U246" s="196" t="s">
        <v>1088</v>
      </c>
      <c r="V246" s="197" t="s">
        <v>1089</v>
      </c>
      <c r="W246" s="181" t="s">
        <v>236</v>
      </c>
      <c r="X246" s="198">
        <v>53900000</v>
      </c>
      <c r="Y246" s="198">
        <v>51072000</v>
      </c>
      <c r="Z246" s="199">
        <v>0.94699999999999995</v>
      </c>
      <c r="AA246" s="190"/>
      <c r="AB246" s="190"/>
      <c r="AC246" s="190">
        <v>3</v>
      </c>
      <c r="AD246" s="200" t="s">
        <v>237</v>
      </c>
      <c r="AE246" s="201"/>
      <c r="AF246" s="188"/>
      <c r="AG246" s="202" t="s">
        <v>131</v>
      </c>
      <c r="AH246" s="203" t="s">
        <v>238</v>
      </c>
      <c r="AI246" s="184"/>
      <c r="AJ246" s="182"/>
      <c r="AK246" s="182" t="s">
        <v>147</v>
      </c>
      <c r="AL246" s="231" t="str">
        <f>VLOOKUP(AK246,'[3]17見直し計画'!$A$50:$AJ$584,6,0)</f>
        <v>　見直し計画策定以降の新規案件</v>
      </c>
      <c r="AM246" s="204">
        <f>VLOOKUP(AK246,'[3]17見直し計画'!$A$50:$AJ$584,8,0)</f>
        <v>0</v>
      </c>
      <c r="AN246" s="224"/>
      <c r="AO246" s="205">
        <f>VLOOKUP(AK246,'[3]17見直し計画'!$A$50:$AJ$584,11,0)</f>
        <v>0</v>
      </c>
      <c r="AP246" s="204">
        <f>VLOOKUP(AK246,'[3]17見直し計画'!$A$50:$AJ$584,12,0)</f>
        <v>0</v>
      </c>
      <c r="AQ246" s="204">
        <f>VLOOKUP(AK246,'[3]17見直し計画'!$A$50:$AJ$584,13,0)</f>
        <v>0</v>
      </c>
      <c r="AR246" s="204">
        <f>VLOOKUP(AK246,'[3]17見直し計画'!$A$50:$AJ$584,14,0)</f>
        <v>0</v>
      </c>
      <c r="AS246" s="204"/>
      <c r="AT246" s="204">
        <f>VLOOKUP(AK246,'[3]17見直し計画'!$A$50:$AJ$584,35,0)</f>
        <v>0</v>
      </c>
      <c r="AU246" s="204">
        <f>VLOOKUP(AK246,'[3]17見直し計画'!$A$50:$AJ$584,36,0)</f>
        <v>0</v>
      </c>
    </row>
    <row r="247" spans="2:47" ht="105" hidden="1" customHeight="1">
      <c r="B247" s="152"/>
      <c r="C247" s="152"/>
      <c r="D247" s="153" t="s">
        <v>459</v>
      </c>
      <c r="E247">
        <f t="shared" si="28"/>
        <v>161</v>
      </c>
      <c r="F247" s="155">
        <v>156</v>
      </c>
      <c r="G247" s="156">
        <v>156</v>
      </c>
      <c r="H247" s="157">
        <v>2200268</v>
      </c>
      <c r="I247" s="158"/>
      <c r="J247" s="157" t="s">
        <v>1090</v>
      </c>
      <c r="K247" s="157" t="s">
        <v>661</v>
      </c>
      <c r="L247" s="159"/>
      <c r="M247" s="159"/>
      <c r="N247" s="160" t="s">
        <v>162</v>
      </c>
      <c r="O247" s="161" t="s">
        <v>121</v>
      </c>
      <c r="P247" s="159" t="s">
        <v>163</v>
      </c>
      <c r="Q247" s="162" t="s">
        <v>1091</v>
      </c>
      <c r="R247" s="163" t="s">
        <v>1092</v>
      </c>
      <c r="S247" s="164" t="s">
        <v>125</v>
      </c>
      <c r="T247" s="165">
        <v>40281</v>
      </c>
      <c r="U247" s="166" t="s">
        <v>1093</v>
      </c>
      <c r="V247" s="167" t="s">
        <v>1094</v>
      </c>
      <c r="W247" s="151" t="s">
        <v>168</v>
      </c>
      <c r="X247" s="168">
        <v>2886912</v>
      </c>
      <c r="Y247" s="168">
        <v>2886912</v>
      </c>
      <c r="Z247" s="169">
        <v>1</v>
      </c>
      <c r="AA247" s="160">
        <v>0</v>
      </c>
      <c r="AB247" s="160"/>
      <c r="AC247" s="160" t="s">
        <v>169</v>
      </c>
      <c r="AD247" s="170" t="s">
        <v>170</v>
      </c>
      <c r="AE247" s="171"/>
      <c r="AF247" s="158"/>
      <c r="AG247" s="172" t="s">
        <v>131</v>
      </c>
      <c r="AH247" s="173" t="s">
        <v>171</v>
      </c>
      <c r="AI247" s="154"/>
      <c r="AJ247" s="152"/>
      <c r="AK247" s="152"/>
      <c r="AL247" s="233" t="e">
        <f>VLOOKUP(AK247,'[3]17見直し計画'!$A$50:$AJ$584,6,0)</f>
        <v>#N/A</v>
      </c>
      <c r="AM247" s="174" t="e">
        <f>VLOOKUP(AK247,'[3]17見直し計画'!$A$50:$AJ$584,8,0)</f>
        <v>#N/A</v>
      </c>
      <c r="AN247" s="225" t="e">
        <f>VLOOKUP(AK247,'[3]17見直し計画'!$A$50:$AJ$584,10,0)</f>
        <v>#N/A</v>
      </c>
      <c r="AO247" s="175" t="e">
        <f>VLOOKUP(AK247,'[3]17見直し計画'!$A$50:$AJ$584,11,0)</f>
        <v>#N/A</v>
      </c>
      <c r="AP247" s="174" t="e">
        <f>VLOOKUP(AK247,'[3]17見直し計画'!$A$50:$AJ$584,12,0)</f>
        <v>#N/A</v>
      </c>
      <c r="AQ247" s="174" t="e">
        <f>VLOOKUP(AK247,'[3]17見直し計画'!$A$50:$AJ$584,13,0)</f>
        <v>#N/A</v>
      </c>
      <c r="AR247" s="174" t="e">
        <f>VLOOKUP(AK247,'[3]17見直し計画'!$A$50:$AJ$584,14,0)</f>
        <v>#N/A</v>
      </c>
      <c r="AS247" s="174"/>
      <c r="AT247" s="174" t="e">
        <f>VLOOKUP(AK247,'[3]17見直し計画'!$A$50:$AJ$584,35,0)</f>
        <v>#N/A</v>
      </c>
      <c r="AU247" s="174" t="e">
        <f>VLOOKUP(AK247,'[3]17見直し計画'!$A$50:$AJ$584,36,0)</f>
        <v>#N/A</v>
      </c>
    </row>
    <row r="248" spans="2:47" ht="105" hidden="1" customHeight="1">
      <c r="B248" s="182"/>
      <c r="C248" s="182"/>
      <c r="D248" s="223" t="s">
        <v>421</v>
      </c>
      <c r="E248">
        <f t="shared" si="28"/>
        <v>162</v>
      </c>
      <c r="F248" s="185">
        <v>157</v>
      </c>
      <c r="G248" s="186">
        <v>157</v>
      </c>
      <c r="H248" s="187">
        <v>2200024</v>
      </c>
      <c r="I248" s="188"/>
      <c r="J248" s="187"/>
      <c r="K248" s="187" t="s">
        <v>258</v>
      </c>
      <c r="L248" s="189"/>
      <c r="M248" s="189"/>
      <c r="N248" s="190" t="s">
        <v>277</v>
      </c>
      <c r="O248" s="191" t="s">
        <v>121</v>
      </c>
      <c r="P248" s="189" t="s">
        <v>231</v>
      </c>
      <c r="Q248" s="192" t="s">
        <v>1095</v>
      </c>
      <c r="R248" s="193" t="s">
        <v>1096</v>
      </c>
      <c r="S248" s="194" t="s">
        <v>125</v>
      </c>
      <c r="T248" s="195">
        <v>40281</v>
      </c>
      <c r="U248" s="196" t="s">
        <v>126</v>
      </c>
      <c r="V248" s="197" t="s">
        <v>127</v>
      </c>
      <c r="W248" s="181" t="s">
        <v>236</v>
      </c>
      <c r="X248" s="198" t="s">
        <v>129</v>
      </c>
      <c r="Y248" s="256">
        <v>41728285</v>
      </c>
      <c r="Z248" s="199" t="e">
        <v>#VALUE!</v>
      </c>
      <c r="AA248" s="190">
        <v>1</v>
      </c>
      <c r="AB248" s="190" t="s">
        <v>145</v>
      </c>
      <c r="AC248" s="190">
        <v>3</v>
      </c>
      <c r="AD248" s="200" t="s">
        <v>1097</v>
      </c>
      <c r="AE248" s="201"/>
      <c r="AF248" s="188"/>
      <c r="AG248" s="202" t="s">
        <v>131</v>
      </c>
      <c r="AH248" s="203" t="s">
        <v>238</v>
      </c>
      <c r="AI248" s="184"/>
      <c r="AJ248" s="182"/>
      <c r="AK248" s="182" t="s">
        <v>147</v>
      </c>
      <c r="AL248" s="231" t="str">
        <f>VLOOKUP(AK248,'[3]17見直し計画'!$A$50:$AJ$584,6,0)</f>
        <v>　見直し計画策定以降の新規案件</v>
      </c>
      <c r="AM248" s="204">
        <f>VLOOKUP(AK248,'[3]17見直し計画'!$A$50:$AJ$584,8,0)</f>
        <v>0</v>
      </c>
      <c r="AN248" s="224"/>
      <c r="AO248" s="205">
        <f>VLOOKUP(AK248,'[3]17見直し計画'!$A$50:$AJ$584,11,0)</f>
        <v>0</v>
      </c>
      <c r="AP248" s="204">
        <f>VLOOKUP(AK248,'[3]17見直し計画'!$A$50:$AJ$584,12,0)</f>
        <v>0</v>
      </c>
      <c r="AQ248" s="204">
        <f>VLOOKUP(AK248,'[3]17見直し計画'!$A$50:$AJ$584,13,0)</f>
        <v>0</v>
      </c>
      <c r="AR248" s="204">
        <f>VLOOKUP(AK248,'[3]17見直し計画'!$A$50:$AJ$584,14,0)</f>
        <v>0</v>
      </c>
      <c r="AS248" s="204"/>
      <c r="AT248" s="204">
        <f>VLOOKUP(AK248,'[3]17見直し計画'!$A$50:$AJ$584,35,0)</f>
        <v>0</v>
      </c>
      <c r="AU248" s="204">
        <f>VLOOKUP(AK248,'[3]17見直し計画'!$A$50:$AJ$584,36,0)</f>
        <v>0</v>
      </c>
    </row>
    <row r="249" spans="2:47" ht="105" hidden="1" customHeight="1">
      <c r="B249" s="126" t="s">
        <v>213</v>
      </c>
      <c r="C249" s="120" t="s">
        <v>135</v>
      </c>
      <c r="D249" s="143" t="s">
        <v>136</v>
      </c>
      <c r="E249">
        <f t="shared" si="28"/>
        <v>163</v>
      </c>
      <c r="F249" s="122">
        <v>158</v>
      </c>
      <c r="G249" s="123">
        <v>158</v>
      </c>
      <c r="H249" s="124">
        <v>2200194</v>
      </c>
      <c r="I249" s="125"/>
      <c r="J249" s="124" t="s">
        <v>1098</v>
      </c>
      <c r="K249" s="124" t="s">
        <v>195</v>
      </c>
      <c r="L249" s="126"/>
      <c r="M249" s="126"/>
      <c r="N249" s="127" t="s">
        <v>186</v>
      </c>
      <c r="O249" s="128" t="s">
        <v>187</v>
      </c>
      <c r="P249" s="126" t="s">
        <v>122</v>
      </c>
      <c r="Q249" s="129" t="s">
        <v>1099</v>
      </c>
      <c r="R249" s="130" t="s">
        <v>1100</v>
      </c>
      <c r="S249" s="131" t="s">
        <v>125</v>
      </c>
      <c r="T249" s="132">
        <v>40282</v>
      </c>
      <c r="U249" s="133" t="s">
        <v>297</v>
      </c>
      <c r="V249" s="134" t="s">
        <v>1101</v>
      </c>
      <c r="W249" s="118" t="s">
        <v>1102</v>
      </c>
      <c r="X249" s="135">
        <v>14295034</v>
      </c>
      <c r="Y249" s="135">
        <v>13191507</v>
      </c>
      <c r="Z249" s="136">
        <v>0.92200000000000004</v>
      </c>
      <c r="AA249" s="127"/>
      <c r="AB249" s="127"/>
      <c r="AC249" s="127" t="s">
        <v>129</v>
      </c>
      <c r="AD249" s="137" t="s">
        <v>192</v>
      </c>
      <c r="AE249" s="138"/>
      <c r="AF249" s="125"/>
      <c r="AG249" s="117" t="s">
        <v>131</v>
      </c>
      <c r="AH249" s="139" t="s">
        <v>132</v>
      </c>
      <c r="AJ249" s="120"/>
      <c r="AK249" s="120" t="s">
        <v>147</v>
      </c>
      <c r="AL249" s="232" t="str">
        <f>VLOOKUP(AK249,'[3]17見直し計画'!$A$50:$AJ$584,6,0)</f>
        <v>　見直し計画策定以降の新規案件</v>
      </c>
      <c r="AM249" s="140">
        <f>VLOOKUP(AK249,'[3]17見直し計画'!$A$50:$AJ$584,8,0)</f>
        <v>0</v>
      </c>
      <c r="AN249" s="180"/>
      <c r="AO249" s="141">
        <f>VLOOKUP(AK249,'[3]17見直し計画'!$A$50:$AJ$584,11,0)</f>
        <v>0</v>
      </c>
      <c r="AP249" s="140">
        <f>VLOOKUP(AK249,'[3]17見直し計画'!$A$50:$AJ$584,12,0)</f>
        <v>0</v>
      </c>
      <c r="AQ249" s="140">
        <f>VLOOKUP(AK249,'[3]17見直し計画'!$A$50:$AJ$584,13,0)</f>
        <v>0</v>
      </c>
      <c r="AR249" s="140">
        <f>VLOOKUP(AK249,'[3]17見直し計画'!$A$50:$AJ$584,14,0)</f>
        <v>0</v>
      </c>
      <c r="AS249" s="140"/>
      <c r="AT249" s="140">
        <f>VLOOKUP(AK249,'[3]17見直し計画'!$A$50:$AJ$584,35,0)</f>
        <v>0</v>
      </c>
      <c r="AU249" s="140">
        <f>VLOOKUP(AK249,'[3]17見直し計画'!$A$50:$AJ$584,36,0)</f>
        <v>0</v>
      </c>
    </row>
    <row r="250" spans="2:47" ht="105" hidden="1" customHeight="1">
      <c r="B250" s="126" t="s">
        <v>213</v>
      </c>
      <c r="C250" s="120" t="s">
        <v>135</v>
      </c>
      <c r="D250" s="143" t="s">
        <v>136</v>
      </c>
      <c r="E250">
        <f t="shared" si="28"/>
        <v>164</v>
      </c>
      <c r="F250" s="122">
        <v>159</v>
      </c>
      <c r="G250" s="123">
        <v>159</v>
      </c>
      <c r="H250" s="124">
        <v>2200197</v>
      </c>
      <c r="I250" s="125"/>
      <c r="J250" s="124" t="s">
        <v>1103</v>
      </c>
      <c r="K250" s="124" t="s">
        <v>294</v>
      </c>
      <c r="L250" s="126"/>
      <c r="M250" s="126"/>
      <c r="N250" s="127" t="s">
        <v>186</v>
      </c>
      <c r="O250" s="128" t="s">
        <v>187</v>
      </c>
      <c r="P250" s="126" t="s">
        <v>122</v>
      </c>
      <c r="Q250" s="129" t="s">
        <v>1104</v>
      </c>
      <c r="R250" s="130" t="s">
        <v>1105</v>
      </c>
      <c r="S250" s="131" t="s">
        <v>125</v>
      </c>
      <c r="T250" s="132">
        <v>40282</v>
      </c>
      <c r="U250" s="133" t="s">
        <v>297</v>
      </c>
      <c r="V250" s="134" t="s">
        <v>1101</v>
      </c>
      <c r="W250" s="118" t="s">
        <v>1106</v>
      </c>
      <c r="X250" s="135">
        <v>1880970</v>
      </c>
      <c r="Y250" s="135">
        <v>1880970</v>
      </c>
      <c r="Z250" s="136">
        <v>1</v>
      </c>
      <c r="AA250" s="127"/>
      <c r="AB250" s="127"/>
      <c r="AC250" s="127" t="s">
        <v>129</v>
      </c>
      <c r="AD250" s="137" t="s">
        <v>192</v>
      </c>
      <c r="AE250" s="138"/>
      <c r="AF250" s="125"/>
      <c r="AG250" s="117" t="s">
        <v>131</v>
      </c>
      <c r="AH250" s="139" t="s">
        <v>132</v>
      </c>
      <c r="AJ250" s="120"/>
      <c r="AK250" s="120" t="s">
        <v>147</v>
      </c>
      <c r="AL250" s="232" t="str">
        <f>VLOOKUP(AK250,'[3]17見直し計画'!$A$50:$AJ$584,6,0)</f>
        <v>　見直し計画策定以降の新規案件</v>
      </c>
      <c r="AM250" s="140">
        <f>VLOOKUP(AK250,'[3]17見直し計画'!$A$50:$AJ$584,8,0)</f>
        <v>0</v>
      </c>
      <c r="AN250" s="180"/>
      <c r="AO250" s="141">
        <f>VLOOKUP(AK250,'[3]17見直し計画'!$A$50:$AJ$584,11,0)</f>
        <v>0</v>
      </c>
      <c r="AP250" s="140">
        <f>VLOOKUP(AK250,'[3]17見直し計画'!$A$50:$AJ$584,12,0)</f>
        <v>0</v>
      </c>
      <c r="AQ250" s="140">
        <f>VLOOKUP(AK250,'[3]17見直し計画'!$A$50:$AJ$584,13,0)</f>
        <v>0</v>
      </c>
      <c r="AR250" s="140">
        <f>VLOOKUP(AK250,'[3]17見直し計画'!$A$50:$AJ$584,14,0)</f>
        <v>0</v>
      </c>
      <c r="AS250" s="140"/>
      <c r="AT250" s="140">
        <f>VLOOKUP(AK250,'[3]17見直し計画'!$A$50:$AJ$584,35,0)</f>
        <v>0</v>
      </c>
      <c r="AU250" s="140">
        <f>VLOOKUP(AK250,'[3]17見直し計画'!$A$50:$AJ$584,36,0)</f>
        <v>0</v>
      </c>
    </row>
    <row r="251" spans="2:47" ht="105" hidden="1" customHeight="1">
      <c r="B251" s="152"/>
      <c r="C251" s="152"/>
      <c r="D251" s="153" t="s">
        <v>421</v>
      </c>
      <c r="E251">
        <f t="shared" si="28"/>
        <v>165</v>
      </c>
      <c r="F251" s="155">
        <v>160</v>
      </c>
      <c r="G251" s="156">
        <v>160</v>
      </c>
      <c r="H251" s="157">
        <v>2200376</v>
      </c>
      <c r="I251" s="158"/>
      <c r="J251" s="157"/>
      <c r="K251" s="157" t="s">
        <v>286</v>
      </c>
      <c r="L251" s="159"/>
      <c r="M251" s="159"/>
      <c r="N251" s="160" t="s">
        <v>266</v>
      </c>
      <c r="O251" s="161" t="s">
        <v>139</v>
      </c>
      <c r="P251" s="159" t="s">
        <v>163</v>
      </c>
      <c r="Q251" s="162" t="s">
        <v>1107</v>
      </c>
      <c r="R251" s="163" t="s">
        <v>1108</v>
      </c>
      <c r="S251" s="164" t="s">
        <v>125</v>
      </c>
      <c r="T251" s="165">
        <v>40287</v>
      </c>
      <c r="U251" s="166" t="s">
        <v>1109</v>
      </c>
      <c r="V251" s="167" t="s">
        <v>1110</v>
      </c>
      <c r="W251" s="151" t="s">
        <v>168</v>
      </c>
      <c r="X251" s="168" t="s">
        <v>129</v>
      </c>
      <c r="Y251" s="228">
        <v>6491871</v>
      </c>
      <c r="Z251" s="169" t="e">
        <v>#VALUE!</v>
      </c>
      <c r="AA251" s="160"/>
      <c r="AB251" s="160"/>
      <c r="AC251" s="160" t="s">
        <v>169</v>
      </c>
      <c r="AD251" s="170" t="s">
        <v>271</v>
      </c>
      <c r="AE251" s="171"/>
      <c r="AF251" s="158"/>
      <c r="AG251" s="172" t="s">
        <v>131</v>
      </c>
      <c r="AH251" s="173" t="s">
        <v>171</v>
      </c>
      <c r="AI251" s="154"/>
      <c r="AJ251" s="152"/>
      <c r="AK251" s="152" t="s">
        <v>147</v>
      </c>
      <c r="AL251" s="233" t="str">
        <f>VLOOKUP(AK251,'[3]17見直し計画'!$A$50:$AJ$584,6,0)</f>
        <v>　見直し計画策定以降の新規案件</v>
      </c>
      <c r="AM251" s="174">
        <f>VLOOKUP(AK251,'[3]17見直し計画'!$A$50:$AJ$584,8,0)</f>
        <v>0</v>
      </c>
      <c r="AN251" s="225"/>
      <c r="AO251" s="175">
        <f>VLOOKUP(AK251,'[3]17見直し計画'!$A$50:$AJ$584,11,0)</f>
        <v>0</v>
      </c>
      <c r="AP251" s="174">
        <f>VLOOKUP(AK251,'[3]17見直し計画'!$A$50:$AJ$584,12,0)</f>
        <v>0</v>
      </c>
      <c r="AQ251" s="174">
        <f>VLOOKUP(AK251,'[3]17見直し計画'!$A$50:$AJ$584,13,0)</f>
        <v>0</v>
      </c>
      <c r="AR251" s="174">
        <f>VLOOKUP(AK251,'[3]17見直し計画'!$A$50:$AJ$584,14,0)</f>
        <v>0</v>
      </c>
      <c r="AS251" s="174"/>
      <c r="AT251" s="174">
        <f>VLOOKUP(AK251,'[3]17見直し計画'!$A$50:$AJ$584,35,0)</f>
        <v>0</v>
      </c>
      <c r="AU251" s="174">
        <f>VLOOKUP(AK251,'[3]17見直し計画'!$A$50:$AJ$584,36,0)</f>
        <v>0</v>
      </c>
    </row>
    <row r="252" spans="2:47" ht="105" hidden="1" customHeight="1">
      <c r="B252" s="182"/>
      <c r="C252" s="182"/>
      <c r="D252" s="223" t="s">
        <v>752</v>
      </c>
      <c r="E252">
        <f t="shared" si="28"/>
        <v>166</v>
      </c>
      <c r="F252" s="185">
        <v>161</v>
      </c>
      <c r="G252" s="186">
        <v>161</v>
      </c>
      <c r="H252" s="187">
        <v>2200257</v>
      </c>
      <c r="I252" s="188"/>
      <c r="J252" s="187" t="s">
        <v>1111</v>
      </c>
      <c r="K252" s="187" t="s">
        <v>1112</v>
      </c>
      <c r="L252" s="189"/>
      <c r="M252" s="189"/>
      <c r="N252" s="190" t="s">
        <v>277</v>
      </c>
      <c r="O252" s="191" t="s">
        <v>121</v>
      </c>
      <c r="P252" s="189" t="s">
        <v>231</v>
      </c>
      <c r="Q252" s="192" t="s">
        <v>1113</v>
      </c>
      <c r="R252" s="193" t="s">
        <v>1114</v>
      </c>
      <c r="S252" s="194" t="s">
        <v>125</v>
      </c>
      <c r="T252" s="195">
        <v>40288</v>
      </c>
      <c r="U252" s="196" t="s">
        <v>1115</v>
      </c>
      <c r="V252" s="197" t="s">
        <v>1116</v>
      </c>
      <c r="W252" s="181" t="s">
        <v>236</v>
      </c>
      <c r="X252" s="198">
        <v>46790000</v>
      </c>
      <c r="Y252" s="198">
        <v>46699200</v>
      </c>
      <c r="Z252" s="199">
        <v>0.998</v>
      </c>
      <c r="AA252" s="190">
        <v>0</v>
      </c>
      <c r="AB252" s="190"/>
      <c r="AC252" s="190">
        <v>3</v>
      </c>
      <c r="AD252" s="200" t="s">
        <v>1097</v>
      </c>
      <c r="AE252" s="201"/>
      <c r="AF252" s="188"/>
      <c r="AG252" s="202" t="s">
        <v>131</v>
      </c>
      <c r="AH252" s="203" t="s">
        <v>238</v>
      </c>
      <c r="AI252" s="184"/>
      <c r="AJ252" s="182"/>
      <c r="AK252" s="182" t="s">
        <v>1117</v>
      </c>
      <c r="AL252" s="231" t="str">
        <f>VLOOKUP(AK252,'[3]17見直し計画'!$A$50:$AJ$584,6,0)</f>
        <v>ワイ・エフ・
ユー日本国際
交流財団</v>
      </c>
      <c r="AM252" s="204" t="str">
        <f>VLOOKUP(AK252,'[3]17見直し計画'!$A$50:$AJ$584,8,0)</f>
        <v>平成１７年度「日欧高校生交流プログラム（長期招聘グループ）」</v>
      </c>
      <c r="AN252" s="224" t="str">
        <f>VLOOKUP(AK252,'[3]17見直し計画'!$A$50:$AJ$584,10,0)</f>
        <v>平成17/06/28</v>
      </c>
      <c r="AO252" s="205">
        <f>VLOOKUP(AK252,'[3]17見直し計画'!$A$50:$AJ$584,11,0)</f>
        <v>21724000</v>
      </c>
      <c r="AP252" s="204" t="str">
        <f>VLOOKUP(AK252,'[3]17見直し計画'!$A$50:$AJ$584,12,0)</f>
        <v>学生の交流を実施している１３団体に対し、対象国、現地事務所の有無、事業の実施可能性等を調査したところ、現地事務所が最も多い団体でもあり、１７年度において本件事業が実施可能であったのは当該財団だけであったため、右と随意契約を行った（会計法第２９条の３第５項）。</v>
      </c>
      <c r="AQ252" s="204" t="str">
        <f>VLOOKUP(AK252,'[3]17見直し計画'!$A$50:$AJ$584,13,0)</f>
        <v>見直しの余地があるもの</v>
      </c>
      <c r="AR252" s="204" t="str">
        <f>VLOOKUP(AK252,'[3]17見直し計画'!$A$50:$AJ$584,14,0)</f>
        <v>一般競争入札等に移行したもの（企画招請実施）</v>
      </c>
      <c r="AS252" s="204"/>
      <c r="AT252" s="204">
        <f>VLOOKUP(AK252,'[3]17見直し計画'!$A$50:$AJ$584,35,0)</f>
        <v>0</v>
      </c>
      <c r="AU252" s="204">
        <f>VLOOKUP(AK252,'[3]17見直し計画'!$A$50:$AJ$584,36,0)</f>
        <v>0</v>
      </c>
    </row>
    <row r="253" spans="2:47" ht="105" hidden="1" customHeight="1">
      <c r="B253" s="152"/>
      <c r="C253" s="152"/>
      <c r="D253" s="153" t="s">
        <v>421</v>
      </c>
      <c r="E253">
        <f t="shared" si="28"/>
        <v>167</v>
      </c>
      <c r="F253" s="155">
        <v>162</v>
      </c>
      <c r="G253" s="156">
        <v>162</v>
      </c>
      <c r="H253" s="157">
        <v>2200506</v>
      </c>
      <c r="I253" s="158"/>
      <c r="J253" s="157"/>
      <c r="K253" s="157" t="s">
        <v>501</v>
      </c>
      <c r="L253" s="159"/>
      <c r="M253" s="159"/>
      <c r="N253" s="160" t="s">
        <v>266</v>
      </c>
      <c r="O253" s="161" t="s">
        <v>139</v>
      </c>
      <c r="P253" s="159" t="s">
        <v>163</v>
      </c>
      <c r="Q253" s="162" t="s">
        <v>1118</v>
      </c>
      <c r="R253" s="163" t="s">
        <v>1119</v>
      </c>
      <c r="S253" s="164" t="s">
        <v>125</v>
      </c>
      <c r="T253" s="165">
        <v>40288</v>
      </c>
      <c r="U253" s="166" t="s">
        <v>1120</v>
      </c>
      <c r="V253" s="167" t="s">
        <v>1121</v>
      </c>
      <c r="W253" s="151" t="s">
        <v>168</v>
      </c>
      <c r="X253" s="168" t="s">
        <v>129</v>
      </c>
      <c r="Y253" s="227">
        <v>179230</v>
      </c>
      <c r="Z253" s="169" t="e">
        <v>#VALUE!</v>
      </c>
      <c r="AA253" s="160"/>
      <c r="AB253" s="160" t="s">
        <v>1122</v>
      </c>
      <c r="AC253" s="160" t="s">
        <v>169</v>
      </c>
      <c r="AD253" s="170" t="s">
        <v>271</v>
      </c>
      <c r="AE253" s="171"/>
      <c r="AF253" s="158"/>
      <c r="AG253" s="172" t="s">
        <v>131</v>
      </c>
      <c r="AH253" s="173" t="s">
        <v>171</v>
      </c>
      <c r="AI253" s="154"/>
      <c r="AJ253" s="152"/>
      <c r="AK253" s="152" t="s">
        <v>147</v>
      </c>
      <c r="AL253" s="233" t="str">
        <f>VLOOKUP(AK253,'[3]17見直し計画'!$A$50:$AJ$584,6,0)</f>
        <v>　見直し計画策定以降の新規案件</v>
      </c>
      <c r="AM253" s="174">
        <f>VLOOKUP(AK253,'[3]17見直し計画'!$A$50:$AJ$584,8,0)</f>
        <v>0</v>
      </c>
      <c r="AN253" s="225"/>
      <c r="AO253" s="175">
        <f>VLOOKUP(AK253,'[3]17見直し計画'!$A$50:$AJ$584,11,0)</f>
        <v>0</v>
      </c>
      <c r="AP253" s="174">
        <f>VLOOKUP(AK253,'[3]17見直し計画'!$A$50:$AJ$584,12,0)</f>
        <v>0</v>
      </c>
      <c r="AQ253" s="174">
        <f>VLOOKUP(AK253,'[3]17見直し計画'!$A$50:$AJ$584,13,0)</f>
        <v>0</v>
      </c>
      <c r="AR253" s="174">
        <f>VLOOKUP(AK253,'[3]17見直し計画'!$A$50:$AJ$584,14,0)</f>
        <v>0</v>
      </c>
      <c r="AS253" s="174"/>
      <c r="AT253" s="174">
        <f>VLOOKUP(AK253,'[3]17見直し計画'!$A$50:$AJ$584,35,0)</f>
        <v>0</v>
      </c>
      <c r="AU253" s="174">
        <f>VLOOKUP(AK253,'[3]17見直し計画'!$A$50:$AJ$584,36,0)</f>
        <v>0</v>
      </c>
    </row>
    <row r="254" spans="2:47" ht="105" hidden="1" customHeight="1">
      <c r="B254" s="152"/>
      <c r="C254" s="152"/>
      <c r="D254" s="153" t="s">
        <v>421</v>
      </c>
      <c r="E254">
        <f t="shared" si="28"/>
        <v>168</v>
      </c>
      <c r="F254" s="155">
        <v>163</v>
      </c>
      <c r="G254" s="156">
        <v>163</v>
      </c>
      <c r="H254" s="157">
        <v>2200266</v>
      </c>
      <c r="I254" s="158"/>
      <c r="J254" s="157"/>
      <c r="K254" s="157" t="s">
        <v>119</v>
      </c>
      <c r="L254" s="159"/>
      <c r="M254" s="159"/>
      <c r="N254" s="160" t="s">
        <v>162</v>
      </c>
      <c r="O254" s="161" t="s">
        <v>121</v>
      </c>
      <c r="P254" s="159" t="s">
        <v>163</v>
      </c>
      <c r="Q254" s="162" t="s">
        <v>1123</v>
      </c>
      <c r="R254" s="163" t="s">
        <v>124</v>
      </c>
      <c r="S254" s="164" t="s">
        <v>125</v>
      </c>
      <c r="T254" s="165">
        <v>40290</v>
      </c>
      <c r="U254" s="166" t="s">
        <v>126</v>
      </c>
      <c r="V254" s="167" t="s">
        <v>127</v>
      </c>
      <c r="W254" s="151" t="s">
        <v>168</v>
      </c>
      <c r="X254" s="168">
        <v>398256101</v>
      </c>
      <c r="Y254" s="228">
        <v>343960573</v>
      </c>
      <c r="Z254" s="169">
        <v>1</v>
      </c>
      <c r="AA254" s="160">
        <v>1</v>
      </c>
      <c r="AB254" s="160"/>
      <c r="AC254" s="160" t="s">
        <v>169</v>
      </c>
      <c r="AD254" s="170" t="s">
        <v>170</v>
      </c>
      <c r="AE254" s="171"/>
      <c r="AF254" s="158"/>
      <c r="AG254" s="172" t="s">
        <v>131</v>
      </c>
      <c r="AH254" s="173" t="s">
        <v>171</v>
      </c>
      <c r="AI254" s="154"/>
      <c r="AJ254" s="152"/>
      <c r="AK254" s="152" t="s">
        <v>133</v>
      </c>
      <c r="AL254" s="233" t="str">
        <f>VLOOKUP(AK254,'[3]17見直し計画'!$A$50:$AJ$584,6,0)</f>
        <v>社団法人
国際交流サービス協会</v>
      </c>
      <c r="AM254" s="174" t="str">
        <f>VLOOKUP(AK254,'[3]17見直し計画'!$A$50:$AJ$584,8,0)</f>
        <v>在外公館の庶務的業務の一部民間への委嘱（派遣員制度）</v>
      </c>
      <c r="AN254" s="225" t="str">
        <f>VLOOKUP(AK254,'[3]17見直し計画'!$A$50:$AJ$584,10,0)</f>
        <v>平成17/04/01</v>
      </c>
      <c r="AO254" s="175">
        <f>VLOOKUP(AK254,'[3]17見直し計画'!$A$50:$AJ$584,11,0)</f>
        <v>2116349849</v>
      </c>
      <c r="AP254" s="174" t="str">
        <f>VLOOKUP(AK254,'[3]17見直し計画'!$A$50:$AJ$584,12,0)</f>
        <v>本件制度は、在外公館における庶務的事務の一部補助を民間に委嘱するものであり、昭和４８年度の制度発足以来、国際交流サービス協会と契約を行っている。在外公館で必要とされる外国語能力を生かしつつ庶務的業務補助を行うという特殊業務を正しく理解し、我が方が求める人材を多数派遣しうる業者は他に見いだせないことから本件契約相手先として唯一の者である（会計法第２９条の３第４項）。</v>
      </c>
      <c r="AQ254" s="174" t="str">
        <f>VLOOKUP(AK254,'[3]17見直し計画'!$A$50:$AJ$584,13,0)</f>
        <v>見直しの余地があるもの</v>
      </c>
      <c r="AR254" s="174" t="str">
        <f>VLOOKUP(AK254,'[3]17見直し計画'!$A$50:$AJ$584,14,0)</f>
        <v>一般競争入札等に移行するための準備に時間を要するもの（２２年度以降において公募実施）</v>
      </c>
      <c r="AS254" s="174"/>
      <c r="AT254" s="174" t="str">
        <f>VLOOKUP(AK254,'[3]17見直し計画'!$A$50:$AJ$584,35,0)</f>
        <v>20年度においては「公募」による選定も実施済み。
派遣員の任期が2年であるため、昨年度採用した派遣員関連業務については随契
(案件番号2000674　平成20年4月1日契約　436,442,965円）</v>
      </c>
      <c r="AU254" s="174">
        <f>VLOOKUP(AK254,'[3]17見直し計画'!$A$50:$AJ$584,36,0)</f>
        <v>0</v>
      </c>
    </row>
    <row r="255" spans="2:47" ht="105" hidden="1" customHeight="1">
      <c r="B255" s="182"/>
      <c r="C255" s="182"/>
      <c r="D255" s="223" t="s">
        <v>1124</v>
      </c>
      <c r="E255">
        <f t="shared" si="28"/>
        <v>169</v>
      </c>
      <c r="F255" s="185">
        <v>164</v>
      </c>
      <c r="G255" s="186">
        <v>164</v>
      </c>
      <c r="H255" s="187">
        <v>2200214</v>
      </c>
      <c r="I255" s="188"/>
      <c r="J255" s="187" t="s">
        <v>1125</v>
      </c>
      <c r="K255" s="187" t="s">
        <v>746</v>
      </c>
      <c r="L255" s="189"/>
      <c r="M255" s="189"/>
      <c r="N255" s="190" t="s">
        <v>230</v>
      </c>
      <c r="O255" s="191" t="s">
        <v>139</v>
      </c>
      <c r="P255" s="189" t="s">
        <v>231</v>
      </c>
      <c r="Q255" s="192" t="s">
        <v>1126</v>
      </c>
      <c r="R255" s="193" t="s">
        <v>1127</v>
      </c>
      <c r="S255" s="194" t="s">
        <v>125</v>
      </c>
      <c r="T255" s="195">
        <v>40294</v>
      </c>
      <c r="U255" s="196" t="s">
        <v>756</v>
      </c>
      <c r="V255" s="197" t="s">
        <v>757</v>
      </c>
      <c r="W255" s="181" t="s">
        <v>236</v>
      </c>
      <c r="X255" s="198">
        <v>3198000</v>
      </c>
      <c r="Y255" s="198">
        <v>2538600</v>
      </c>
      <c r="Z255" s="199">
        <v>0.79300000000000004</v>
      </c>
      <c r="AA255" s="190"/>
      <c r="AB255" s="190"/>
      <c r="AC255" s="190">
        <v>2</v>
      </c>
      <c r="AD255" s="200" t="s">
        <v>427</v>
      </c>
      <c r="AE255" s="201"/>
      <c r="AF255" s="188"/>
      <c r="AG255" s="202" t="s">
        <v>131</v>
      </c>
      <c r="AH255" s="203" t="s">
        <v>428</v>
      </c>
      <c r="AI255" s="184"/>
      <c r="AJ255" s="182"/>
      <c r="AK255" s="182" t="s">
        <v>1128</v>
      </c>
      <c r="AL255" s="231" t="str">
        <f>VLOOKUP(AK255,'[3]17見直し計画'!$A$50:$AJ$584,6,0)</f>
        <v>株式会社サイマル・インターナショナル</v>
      </c>
      <c r="AM255" s="204" t="str">
        <f>VLOOKUP(AK255,'[3]17見直し計画'!$A$50:$AJ$584,8,0)</f>
        <v>「外交実務語学研修」実施委嘱</v>
      </c>
      <c r="AN255" s="224">
        <f>VLOOKUP(AK255,'[3]17見直し計画'!$A$50:$AJ$584,10,0)</f>
        <v>38602</v>
      </c>
      <c r="AO255" s="205">
        <f>VLOOKUP(AK255,'[3]17見直し計画'!$A$50:$AJ$584,11,0)</f>
        <v>2993340</v>
      </c>
      <c r="AP255" s="204" t="str">
        <f>VLOOKUP(AK255,'[3]17見直し計画'!$A$50:$AJ$584,12,0)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55" s="204" t="str">
        <f>VLOOKUP(AK255,'[3]17見直し計画'!$A$50:$AJ$584,13,0)</f>
        <v>見直しの余地があるもの</v>
      </c>
      <c r="AR255" s="204" t="str">
        <f>VLOOKUP(AK255,'[3]17見直し計画'!$A$50:$AJ$584,14,0)</f>
        <v>企画招請を実施（１８年度以降も引き続き実施）</v>
      </c>
      <c r="AS255" s="204"/>
      <c r="AT255" s="204">
        <f>VLOOKUP(AK255,'[3]17見直し計画'!$A$50:$AJ$584,35,0)</f>
        <v>0</v>
      </c>
      <c r="AU255" s="204">
        <f>VLOOKUP(AK255,'[3]17見直し計画'!$A$50:$AJ$584,36,0)</f>
        <v>0</v>
      </c>
    </row>
    <row r="256" spans="2:47" ht="105" hidden="1" customHeight="1">
      <c r="B256" s="152"/>
      <c r="C256" s="152"/>
      <c r="D256" s="153" t="s">
        <v>421</v>
      </c>
      <c r="E256">
        <f t="shared" si="28"/>
        <v>170</v>
      </c>
      <c r="F256" s="155">
        <v>165</v>
      </c>
      <c r="G256" s="156">
        <v>165</v>
      </c>
      <c r="H256" s="157">
        <v>2200454</v>
      </c>
      <c r="I256" s="158"/>
      <c r="J256" s="159" t="s">
        <v>1129</v>
      </c>
      <c r="K256" s="157" t="s">
        <v>1130</v>
      </c>
      <c r="L256" s="159"/>
      <c r="M256" s="159"/>
      <c r="N256" s="160" t="s">
        <v>162</v>
      </c>
      <c r="O256" s="161" t="s">
        <v>121</v>
      </c>
      <c r="P256" s="159" t="s">
        <v>163</v>
      </c>
      <c r="Q256" s="162" t="s">
        <v>1131</v>
      </c>
      <c r="R256" s="163" t="s">
        <v>1132</v>
      </c>
      <c r="S256" s="164" t="s">
        <v>125</v>
      </c>
      <c r="T256" s="165">
        <v>40296</v>
      </c>
      <c r="U256" s="166" t="s">
        <v>166</v>
      </c>
      <c r="V256" s="167" t="s">
        <v>167</v>
      </c>
      <c r="W256" s="151" t="s">
        <v>168</v>
      </c>
      <c r="X256" s="168">
        <v>14662725</v>
      </c>
      <c r="Y256" s="168">
        <v>14662725</v>
      </c>
      <c r="Z256" s="169">
        <v>1</v>
      </c>
      <c r="AA256" s="160">
        <v>2</v>
      </c>
      <c r="AB256" s="160"/>
      <c r="AC256" s="160" t="s">
        <v>169</v>
      </c>
      <c r="AD256" s="170" t="s">
        <v>170</v>
      </c>
      <c r="AE256" s="171"/>
      <c r="AF256" s="158"/>
      <c r="AG256" s="172" t="s">
        <v>131</v>
      </c>
      <c r="AH256" s="173" t="s">
        <v>171</v>
      </c>
      <c r="AI256" s="154"/>
      <c r="AJ256" s="152"/>
      <c r="AK256" s="152" t="s">
        <v>1133</v>
      </c>
      <c r="AL256" s="233" t="str">
        <f>VLOOKUP(AK256,'[3]17見直し計画'!$A$50:$AJ$584,6,0)</f>
        <v>株式会社ホテルニューオータニ</v>
      </c>
      <c r="AM256" s="174" t="str">
        <f>VLOOKUP(AK256,'[3]17見直し計画'!$A$50:$AJ$584,8,0)</f>
        <v>公式実務訪問賓客等接遇（宿舎契約・４件）</v>
      </c>
      <c r="AN256" s="225">
        <f>VLOOKUP(AK256,'[3]17見直し計画'!$A$50:$AJ$584,10,0)</f>
        <v>38552</v>
      </c>
      <c r="AO256" s="175">
        <f>VLOOKUP(AK256,'[3]17見直し計画'!$A$50:$AJ$584,11,0)</f>
        <v>7686414</v>
      </c>
      <c r="AP256" s="174" t="str">
        <f>VLOOKUP(AK256,'[3]17見直し計画'!$A$50:$AJ$584,12,0)</f>
        <v>賓客側の希望に基づき、滞在中の行事、用務等日程の都合、立地条件、ホテル側の受け入れ態勢などを総合的に判断し委嘱したものであり、他に競争を許さない（会計法第２９条の３第４項）。</v>
      </c>
      <c r="AQ256" s="174" t="str">
        <f>VLOOKUP(AK256,'[3]17見直し計画'!$A$50:$AJ$584,13,0)</f>
        <v>その他のもの</v>
      </c>
      <c r="AR256" s="174" t="str">
        <f>VLOOKUP(AK256,'[3]17見直し計画'!$A$50:$AJ$584,14,0)</f>
        <v>随意契約によらざるを得ないもの</v>
      </c>
      <c r="AS256" s="174"/>
      <c r="AT256" s="174" t="str">
        <f>VLOOKUP(AK256,'[3]17見直し計画'!$A$50:$AJ$584,35,0)</f>
        <v>相手国との関係から業務の質を確保することについて特段の配慮を要するもの
行政目的を達成するために不可欠な業務を提供することが可能な者から提供を受けるもの</v>
      </c>
      <c r="AU256" s="174" t="str">
        <f>VLOOKUP(AK256,'[3]17見直し計画'!$A$50:$AJ$584,36,0)</f>
        <v>ニ（ヘ）
に準ずる</v>
      </c>
    </row>
    <row r="257" spans="1:47" ht="105" hidden="1" customHeight="1">
      <c r="B257" s="182"/>
      <c r="C257" s="182"/>
      <c r="D257" s="223" t="s">
        <v>421</v>
      </c>
      <c r="E257">
        <f t="shared" si="28"/>
        <v>171</v>
      </c>
      <c r="F257" s="185">
        <v>166</v>
      </c>
      <c r="G257" s="186">
        <v>166</v>
      </c>
      <c r="H257" s="187">
        <v>2200332</v>
      </c>
      <c r="I257" s="188"/>
      <c r="J257" s="187"/>
      <c r="K257" s="187" t="s">
        <v>345</v>
      </c>
      <c r="L257" s="189"/>
      <c r="M257" s="189"/>
      <c r="N257" s="190" t="s">
        <v>230</v>
      </c>
      <c r="O257" s="191" t="s">
        <v>139</v>
      </c>
      <c r="P257" s="189" t="s">
        <v>231</v>
      </c>
      <c r="Q257" s="192" t="s">
        <v>1134</v>
      </c>
      <c r="R257" s="193" t="s">
        <v>1135</v>
      </c>
      <c r="S257" s="194" t="s">
        <v>125</v>
      </c>
      <c r="T257" s="195">
        <v>40296</v>
      </c>
      <c r="U257" s="196" t="s">
        <v>1136</v>
      </c>
      <c r="V257" s="197" t="s">
        <v>1137</v>
      </c>
      <c r="W257" s="181" t="s">
        <v>236</v>
      </c>
      <c r="X257" s="198">
        <v>8700000</v>
      </c>
      <c r="Y257" s="198">
        <v>8698200</v>
      </c>
      <c r="Z257" s="199">
        <v>0.999</v>
      </c>
      <c r="AA257" s="190"/>
      <c r="AB257" s="190"/>
      <c r="AC257" s="190">
        <v>1</v>
      </c>
      <c r="AD257" s="200" t="s">
        <v>631</v>
      </c>
      <c r="AE257" s="201"/>
      <c r="AF257" s="188"/>
      <c r="AG257" s="202" t="s">
        <v>131</v>
      </c>
      <c r="AH257" s="203" t="s">
        <v>171</v>
      </c>
      <c r="AI257" s="184"/>
      <c r="AJ257" s="182"/>
      <c r="AK257" s="182" t="s">
        <v>147</v>
      </c>
      <c r="AL257" s="231" t="str">
        <f>VLOOKUP(AK257,'[3]17見直し計画'!$A$50:$AJ$584,6,0)</f>
        <v>　見直し計画策定以降の新規案件</v>
      </c>
      <c r="AM257" s="204">
        <f>VLOOKUP(AK257,'[3]17見直し計画'!$A$50:$AJ$584,8,0)</f>
        <v>0</v>
      </c>
      <c r="AN257" s="224"/>
      <c r="AO257" s="205">
        <f>VLOOKUP(AK257,'[3]17見直し計画'!$A$50:$AJ$584,11,0)</f>
        <v>0</v>
      </c>
      <c r="AP257" s="204">
        <f>VLOOKUP(AK257,'[3]17見直し計画'!$A$50:$AJ$584,12,0)</f>
        <v>0</v>
      </c>
      <c r="AQ257" s="204">
        <f>VLOOKUP(AK257,'[3]17見直し計画'!$A$50:$AJ$584,13,0)</f>
        <v>0</v>
      </c>
      <c r="AR257" s="204">
        <f>VLOOKUP(AK257,'[3]17見直し計画'!$A$50:$AJ$584,14,0)</f>
        <v>0</v>
      </c>
      <c r="AS257" s="204"/>
      <c r="AT257" s="204">
        <f>VLOOKUP(AK257,'[3]17見直し計画'!$A$50:$AJ$584,35,0)</f>
        <v>0</v>
      </c>
      <c r="AU257" s="204">
        <f>VLOOKUP(AK257,'[3]17見直し計画'!$A$50:$AJ$584,36,0)</f>
        <v>0</v>
      </c>
    </row>
    <row r="258" spans="1:47" ht="105" hidden="1" customHeight="1">
      <c r="B258" s="182"/>
      <c r="C258" s="182"/>
      <c r="D258" s="223" t="s">
        <v>1124</v>
      </c>
      <c r="E258">
        <f t="shared" si="28"/>
        <v>172</v>
      </c>
      <c r="F258" s="185">
        <v>167</v>
      </c>
      <c r="G258" s="186">
        <v>167</v>
      </c>
      <c r="H258" s="187">
        <v>2200200</v>
      </c>
      <c r="I258" s="188"/>
      <c r="J258" s="187" t="s">
        <v>1138</v>
      </c>
      <c r="K258" s="187" t="s">
        <v>746</v>
      </c>
      <c r="L258" s="189"/>
      <c r="M258" s="189"/>
      <c r="N258" s="190" t="s">
        <v>230</v>
      </c>
      <c r="O258" s="191" t="s">
        <v>139</v>
      </c>
      <c r="P258" s="189" t="s">
        <v>231</v>
      </c>
      <c r="Q258" s="192" t="s">
        <v>1139</v>
      </c>
      <c r="R258" s="193" t="s">
        <v>1140</v>
      </c>
      <c r="S258" s="194" t="s">
        <v>125</v>
      </c>
      <c r="T258" s="195">
        <v>40298</v>
      </c>
      <c r="U258" s="196" t="s">
        <v>749</v>
      </c>
      <c r="V258" s="197" t="s">
        <v>750</v>
      </c>
      <c r="W258" s="181" t="s">
        <v>236</v>
      </c>
      <c r="X258" s="198">
        <v>5800000</v>
      </c>
      <c r="Y258" s="198">
        <v>5795485</v>
      </c>
      <c r="Z258" s="199">
        <v>0.999</v>
      </c>
      <c r="AA258" s="190"/>
      <c r="AB258" s="190"/>
      <c r="AC258" s="190">
        <v>5</v>
      </c>
      <c r="AD258" s="200" t="s">
        <v>237</v>
      </c>
      <c r="AE258" s="201"/>
      <c r="AF258" s="188"/>
      <c r="AG258" s="202" t="s">
        <v>131</v>
      </c>
      <c r="AH258" s="203" t="s">
        <v>238</v>
      </c>
      <c r="AI258" s="184"/>
      <c r="AJ258" s="182"/>
      <c r="AK258" s="182" t="s">
        <v>1141</v>
      </c>
      <c r="AL258" s="231" t="str">
        <f>VLOOKUP(AK258,'[3]17見直し計画'!$A$50:$AJ$584,6,0)</f>
        <v>株式会社アヴァンティスタッフ</v>
      </c>
      <c r="AM258" s="204" t="str">
        <f>VLOOKUP(AK258,'[3]17見直し計画'!$A$50:$AJ$584,8,0)</f>
        <v>第４部英語研修</v>
      </c>
      <c r="AN258" s="224">
        <f>VLOOKUP(AK258,'[3]17見直し計画'!$A$50:$AJ$584,10,0)</f>
        <v>38443</v>
      </c>
      <c r="AO258" s="205">
        <f>VLOOKUP(AK258,'[3]17見直し計画'!$A$50:$AJ$584,11,0)</f>
        <v>5599333</v>
      </c>
      <c r="AP258" s="204" t="str">
        <f>VLOOKUP(AK258,'[3]17見直し計画'!$A$50:$AJ$584,12,0)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58" s="204" t="str">
        <f>VLOOKUP(AK258,'[3]17見直し計画'!$A$50:$AJ$584,13,0)</f>
        <v>見直しの余地があるもの</v>
      </c>
      <c r="AR258" s="204" t="str">
        <f>VLOOKUP(AK258,'[3]17見直し計画'!$A$50:$AJ$584,14,0)</f>
        <v>企画招請を実施（１８年度以降も引き続き実施）</v>
      </c>
      <c r="AS258" s="204"/>
      <c r="AT258" s="204">
        <f>VLOOKUP(AK258,'[3]17見直し計画'!$A$50:$AJ$584,35,0)</f>
        <v>0</v>
      </c>
      <c r="AU258" s="204">
        <f>VLOOKUP(AK258,'[3]17見直し計画'!$A$50:$AJ$584,36,0)</f>
        <v>0</v>
      </c>
    </row>
    <row r="259" spans="1:47" ht="105" hidden="1" customHeight="1">
      <c r="B259" s="257" t="s">
        <v>1142</v>
      </c>
      <c r="C259" s="258" t="s">
        <v>255</v>
      </c>
      <c r="D259" s="143" t="s">
        <v>256</v>
      </c>
      <c r="E259">
        <f t="shared" si="28"/>
        <v>173</v>
      </c>
      <c r="F259" s="122">
        <v>168</v>
      </c>
      <c r="G259" s="123">
        <v>168</v>
      </c>
      <c r="H259" s="124">
        <v>2200545</v>
      </c>
      <c r="I259" s="125"/>
      <c r="J259" s="124" t="s">
        <v>1143</v>
      </c>
      <c r="K259" s="124" t="s">
        <v>195</v>
      </c>
      <c r="L259" s="126"/>
      <c r="M259" s="126"/>
      <c r="N259" s="127" t="s">
        <v>138</v>
      </c>
      <c r="O259" s="128" t="s">
        <v>139</v>
      </c>
      <c r="P259" s="126" t="s">
        <v>122</v>
      </c>
      <c r="Q259" s="129" t="s">
        <v>1144</v>
      </c>
      <c r="R259" s="130" t="s">
        <v>1145</v>
      </c>
      <c r="S259" s="131" t="s">
        <v>125</v>
      </c>
      <c r="T259" s="132">
        <v>40298</v>
      </c>
      <c r="U259" s="133" t="s">
        <v>222</v>
      </c>
      <c r="V259" s="134" t="s">
        <v>333</v>
      </c>
      <c r="W259" s="118" t="s">
        <v>1146</v>
      </c>
      <c r="X259" s="135">
        <v>2358720</v>
      </c>
      <c r="Y259" s="135">
        <v>2358720</v>
      </c>
      <c r="Z259" s="136">
        <v>1</v>
      </c>
      <c r="AA259" s="127"/>
      <c r="AB259" s="127"/>
      <c r="AC259" s="127" t="s">
        <v>129</v>
      </c>
      <c r="AD259" s="137" t="s">
        <v>146</v>
      </c>
      <c r="AE259" s="138"/>
      <c r="AF259" s="125"/>
      <c r="AG259" s="117" t="s">
        <v>131</v>
      </c>
      <c r="AH259" s="139" t="s">
        <v>132</v>
      </c>
      <c r="AJ259" s="120"/>
      <c r="AK259" s="120" t="s">
        <v>147</v>
      </c>
      <c r="AL259" s="232" t="str">
        <f>VLOOKUP(AK259,'[3]17見直し計画'!$A$50:$AJ$584,6,0)</f>
        <v>　見直し計画策定以降の新規案件</v>
      </c>
      <c r="AM259" s="140">
        <f>VLOOKUP(AK259,'[3]17見直し計画'!$A$50:$AJ$584,8,0)</f>
        <v>0</v>
      </c>
      <c r="AN259" s="180"/>
      <c r="AO259" s="141">
        <f>VLOOKUP(AK259,'[3]17見直し計画'!$A$50:$AJ$584,11,0)</f>
        <v>0</v>
      </c>
      <c r="AP259" s="140">
        <f>VLOOKUP(AK259,'[3]17見直し計画'!$A$50:$AJ$584,12,0)</f>
        <v>0</v>
      </c>
      <c r="AQ259" s="140">
        <f>VLOOKUP(AK259,'[3]17見直し計画'!$A$50:$AJ$584,13,0)</f>
        <v>0</v>
      </c>
      <c r="AR259" s="140">
        <f>VLOOKUP(AK259,'[3]17見直し計画'!$A$50:$AJ$584,14,0)</f>
        <v>0</v>
      </c>
      <c r="AS259" s="140"/>
      <c r="AT259" s="140">
        <f>VLOOKUP(AK259,'[3]17見直し計画'!$A$50:$AJ$584,35,0)</f>
        <v>0</v>
      </c>
      <c r="AU259" s="140">
        <f>VLOOKUP(AK259,'[3]17見直し計画'!$A$50:$AJ$584,36,0)</f>
        <v>0</v>
      </c>
    </row>
    <row r="260" spans="1:47" ht="105" hidden="1" customHeight="1">
      <c r="B260" s="126" t="s">
        <v>218</v>
      </c>
      <c r="C260" s="120" t="s">
        <v>135</v>
      </c>
      <c r="D260" s="143" t="s">
        <v>136</v>
      </c>
      <c r="E260">
        <f t="shared" si="28"/>
        <v>174</v>
      </c>
      <c r="F260" s="122">
        <v>1</v>
      </c>
      <c r="G260" s="259">
        <v>1</v>
      </c>
      <c r="H260" s="260">
        <v>2200480</v>
      </c>
      <c r="I260" s="238"/>
      <c r="J260" s="238"/>
      <c r="K260" s="239" t="s">
        <v>294</v>
      </c>
      <c r="L260" s="261" t="s">
        <v>1147</v>
      </c>
      <c r="M260" s="238" t="s">
        <v>1148</v>
      </c>
      <c r="N260" s="127" t="s">
        <v>138</v>
      </c>
      <c r="O260" s="128" t="s">
        <v>139</v>
      </c>
      <c r="P260" s="126" t="s">
        <v>122</v>
      </c>
      <c r="Q260" s="262">
        <v>1</v>
      </c>
      <c r="R260" s="130" t="s">
        <v>1149</v>
      </c>
      <c r="S260" s="263" t="s">
        <v>1150</v>
      </c>
      <c r="T260" s="264">
        <v>40304</v>
      </c>
      <c r="U260" s="133" t="s">
        <v>142</v>
      </c>
      <c r="V260" s="134" t="s">
        <v>143</v>
      </c>
      <c r="W260" s="130" t="s">
        <v>1151</v>
      </c>
      <c r="X260" s="265">
        <v>169181250</v>
      </c>
      <c r="Y260" s="266">
        <v>169181250</v>
      </c>
      <c r="Z260" s="267">
        <f>ROUNDDOWN(Y260/X260,3)</f>
        <v>1</v>
      </c>
      <c r="AA260" s="127"/>
      <c r="AB260" s="127"/>
      <c r="AC260" s="127">
        <v>1</v>
      </c>
      <c r="AD260" s="127" t="s">
        <v>1152</v>
      </c>
      <c r="AE260" s="138"/>
      <c r="AF260" s="125"/>
      <c r="AG260" s="117" t="s">
        <v>131</v>
      </c>
      <c r="AH260" s="139" t="s">
        <v>171</v>
      </c>
      <c r="AJ260" s="120"/>
      <c r="AK260" s="120" t="s">
        <v>147</v>
      </c>
      <c r="AL260" s="232" t="str">
        <f>VLOOKUP(AK260,'[3]17見直し計画'!$A$50:$AJ$584,6,0)</f>
        <v>　見直し計画策定以降の新規案件</v>
      </c>
      <c r="AM260" s="140">
        <f>VLOOKUP(AK260,'[3]17見直し計画'!$A$50:$AJ$584,8,0)</f>
        <v>0</v>
      </c>
      <c r="AN260" s="180"/>
      <c r="AO260" s="141">
        <f>VLOOKUP(AK260,'[3]17見直し計画'!$A$50:$AJ$584,11,0)</f>
        <v>0</v>
      </c>
      <c r="AP260" s="140">
        <f>VLOOKUP(AK260,'[3]17見直し計画'!$A$50:$AJ$584,12,0)</f>
        <v>0</v>
      </c>
      <c r="AQ260" s="140">
        <f>VLOOKUP(AK260,'[3]17見直し計画'!$A$50:$AJ$584,13,0)</f>
        <v>0</v>
      </c>
      <c r="AR260" s="140">
        <f>VLOOKUP(AK260,'[3]17見直し計画'!$A$50:$AJ$584,14,0)</f>
        <v>0</v>
      </c>
      <c r="AS260" s="140"/>
      <c r="AT260" s="140">
        <f>VLOOKUP(AK260,'[3]17見直し計画'!$A$50:$AJ$584,35,0)</f>
        <v>0</v>
      </c>
      <c r="AU260" s="140">
        <f>VLOOKUP(AK260,'[3]17見直し計画'!$A$50:$AJ$584,36,0)</f>
        <v>0</v>
      </c>
    </row>
    <row r="261" spans="1:47" ht="105" hidden="1" customHeight="1">
      <c r="B261" s="143" t="s">
        <v>1153</v>
      </c>
      <c r="C261" s="222" t="s">
        <v>255</v>
      </c>
      <c r="D261" s="143" t="s">
        <v>256</v>
      </c>
      <c r="E261">
        <f t="shared" si="28"/>
        <v>175</v>
      </c>
      <c r="F261" s="122">
        <v>2</v>
      </c>
      <c r="G261" s="259">
        <v>2</v>
      </c>
      <c r="H261" s="260">
        <v>2200658</v>
      </c>
      <c r="I261" s="238"/>
      <c r="J261" s="238" t="s">
        <v>1154</v>
      </c>
      <c r="K261" s="239" t="s">
        <v>1155</v>
      </c>
      <c r="L261" s="261" t="s">
        <v>1147</v>
      </c>
      <c r="M261" s="238" t="s">
        <v>1148</v>
      </c>
      <c r="N261" s="127" t="s">
        <v>979</v>
      </c>
      <c r="O261" s="128" t="s">
        <v>980</v>
      </c>
      <c r="P261" s="126" t="s">
        <v>122</v>
      </c>
      <c r="Q261" s="262">
        <v>2</v>
      </c>
      <c r="R261" s="130" t="s">
        <v>1156</v>
      </c>
      <c r="S261" s="263" t="s">
        <v>1150</v>
      </c>
      <c r="T261" s="264">
        <v>40304</v>
      </c>
      <c r="U261" s="268" t="s">
        <v>1157</v>
      </c>
      <c r="V261" s="134" t="s">
        <v>1158</v>
      </c>
      <c r="W261" s="130" t="s">
        <v>1083</v>
      </c>
      <c r="X261" s="265">
        <v>155955000</v>
      </c>
      <c r="Y261" s="266">
        <v>155955000</v>
      </c>
      <c r="Z261" s="267">
        <f t="shared" ref="Z261:Z319" si="29">ROUNDDOWN(Y261/X261,3)</f>
        <v>1</v>
      </c>
      <c r="AA261" s="127"/>
      <c r="AB261" s="127"/>
      <c r="AC261" s="127">
        <v>1</v>
      </c>
      <c r="AD261" s="127" t="s">
        <v>1159</v>
      </c>
      <c r="AE261" s="138"/>
      <c r="AF261" s="125"/>
      <c r="AG261" s="117" t="s">
        <v>131</v>
      </c>
      <c r="AH261" s="139" t="s">
        <v>171</v>
      </c>
      <c r="AJ261" s="179" t="s">
        <v>1160</v>
      </c>
      <c r="AK261" s="120" t="s">
        <v>147</v>
      </c>
      <c r="AL261" s="232" t="str">
        <f>VLOOKUP(AK261,'[3]17見直し計画'!$A$50:$AJ$584,6,0)</f>
        <v>　見直し計画策定以降の新規案件</v>
      </c>
      <c r="AM261" s="140">
        <f>VLOOKUP(AK261,'[3]17見直し計画'!$A$50:$AJ$584,8,0)</f>
        <v>0</v>
      </c>
      <c r="AN261" s="180"/>
      <c r="AO261" s="141">
        <f>VLOOKUP(AK261,'[3]17見直し計画'!$A$50:$AJ$584,11,0)</f>
        <v>0</v>
      </c>
      <c r="AP261" s="140">
        <f>VLOOKUP(AK261,'[3]17見直し計画'!$A$50:$AJ$584,12,0)</f>
        <v>0</v>
      </c>
      <c r="AQ261" s="140">
        <f>VLOOKUP(AK261,'[3]17見直し計画'!$A$50:$AJ$584,13,0)</f>
        <v>0</v>
      </c>
      <c r="AR261" s="140">
        <f>VLOOKUP(AK261,'[3]17見直し計画'!$A$50:$AJ$584,14,0)</f>
        <v>0</v>
      </c>
      <c r="AS261" s="140"/>
      <c r="AT261" s="140">
        <f>VLOOKUP(AK261,'[3]17見直し計画'!$A$50:$AJ$584,35,0)</f>
        <v>0</v>
      </c>
      <c r="AU261" s="140">
        <f>VLOOKUP(AK261,'[3]17見直し計画'!$A$50:$AJ$584,36,0)</f>
        <v>0</v>
      </c>
    </row>
    <row r="262" spans="1:47" ht="105" hidden="1" customHeight="1">
      <c r="B262" s="182"/>
      <c r="C262" s="182"/>
      <c r="D262" s="223" t="s">
        <v>752</v>
      </c>
      <c r="E262">
        <f t="shared" si="28"/>
        <v>176</v>
      </c>
      <c r="F262" s="185">
        <v>3</v>
      </c>
      <c r="G262" s="269">
        <v>3</v>
      </c>
      <c r="H262" s="270">
        <v>2200367</v>
      </c>
      <c r="I262" s="188"/>
      <c r="J262" s="188" t="s">
        <v>1161</v>
      </c>
      <c r="K262" s="201" t="s">
        <v>1162</v>
      </c>
      <c r="L262" s="271" t="s">
        <v>1163</v>
      </c>
      <c r="M262" s="188" t="s">
        <v>1164</v>
      </c>
      <c r="N262" s="190" t="s">
        <v>911</v>
      </c>
      <c r="O262" s="191" t="s">
        <v>688</v>
      </c>
      <c r="P262" s="189" t="s">
        <v>231</v>
      </c>
      <c r="Q262" s="272">
        <v>3</v>
      </c>
      <c r="R262" s="193" t="s">
        <v>1165</v>
      </c>
      <c r="S262" s="273" t="s">
        <v>1150</v>
      </c>
      <c r="T262" s="274">
        <v>40304</v>
      </c>
      <c r="U262" s="196" t="s">
        <v>1166</v>
      </c>
      <c r="V262" s="197" t="s">
        <v>1167</v>
      </c>
      <c r="W262" s="193" t="s">
        <v>282</v>
      </c>
      <c r="X262" s="275">
        <v>13000000</v>
      </c>
      <c r="Y262" s="276">
        <v>12992346</v>
      </c>
      <c r="Z262" s="277">
        <f t="shared" si="29"/>
        <v>0.999</v>
      </c>
      <c r="AA262" s="190"/>
      <c r="AB262" s="190"/>
      <c r="AC262" s="190">
        <v>3</v>
      </c>
      <c r="AD262" s="190" t="s">
        <v>1168</v>
      </c>
      <c r="AE262" s="201"/>
      <c r="AF262" s="188"/>
      <c r="AG262" s="202" t="s">
        <v>131</v>
      </c>
      <c r="AH262" s="203" t="s">
        <v>238</v>
      </c>
      <c r="AI262" s="184"/>
      <c r="AJ262" s="182"/>
      <c r="AK262" s="182" t="s">
        <v>1078</v>
      </c>
      <c r="AL262" s="231" t="str">
        <f>VLOOKUP(AK262,'[3]17見直し計画'!$A$50:$AJ$584,6,0)</f>
        <v>株式会社リンガバンク</v>
      </c>
      <c r="AM262" s="204" t="str">
        <f>VLOOKUP(AK262,'[3]17見直し計画'!$A$50:$AJ$584,8,0)</f>
        <v>政府要人の国際会議出席に係る通訳業務（※１２件）</v>
      </c>
      <c r="AN262" s="224">
        <f>VLOOKUP(AK262,'[3]17見直し計画'!$A$50:$AJ$584,10,0)</f>
        <v>38443</v>
      </c>
      <c r="AO262" s="205">
        <f>VLOOKUP(AK262,'[3]17見直し計画'!$A$50:$AJ$584,11,0)</f>
        <v>28275710</v>
      </c>
      <c r="AP262" s="204" t="str">
        <f>VLOOKUP(AK262,'[3]17見直し計画'!$A$50:$AJ$584,12,0)</f>
        <v>国際会議における政府要人の発言の重要性に鑑み、その同時通訳者は高い技術、専門性、公式通訳の豊富な経験に基づき、最も確実かつ適任な者を充てる必要があることから、該当する者を擁する同社と随意契約を行った（会計法第２９条の３第４項）。</v>
      </c>
      <c r="AQ262" s="204" t="str">
        <f>VLOOKUP(AK262,'[3]17見直し計画'!$A$50:$AJ$584,13,0)</f>
        <v>その他のもの</v>
      </c>
      <c r="AR262" s="204" t="str">
        <f>VLOOKUP(AK262,'[3]17見直し計画'!$A$50:$AJ$584,14,0)</f>
        <v>随意契約によらざるを得ないもの</v>
      </c>
      <c r="AS262" s="204"/>
      <c r="AT262" s="204" t="str">
        <f>VLOOKUP(AK262,'[3]17見直し計画'!$A$50:$AJ$584,35,0)</f>
        <v>相手国との関係から業務の質を確保することについて特段の配慮を要するもの
行政目的を達成するために不可欠な業務を提供することが可能な者から提供を受けるもの</v>
      </c>
      <c r="AU262" s="204" t="str">
        <f>VLOOKUP(AK262,'[3]17見直し計画'!$A$50:$AJ$584,36,0)</f>
        <v>ニ（ヘ）
に準ずる</v>
      </c>
    </row>
    <row r="263" spans="1:47" ht="105" customHeight="1">
      <c r="B263" s="143" t="s">
        <v>476</v>
      </c>
      <c r="C263" s="143" t="s">
        <v>550</v>
      </c>
      <c r="D263" s="143" t="s">
        <v>351</v>
      </c>
      <c r="E263">
        <f t="shared" si="28"/>
        <v>177</v>
      </c>
      <c r="F263" s="122">
        <v>4</v>
      </c>
      <c r="G263" s="259">
        <v>4</v>
      </c>
      <c r="H263" s="260">
        <v>2200366</v>
      </c>
      <c r="I263" s="238"/>
      <c r="J263" s="238" t="s">
        <v>1169</v>
      </c>
      <c r="K263" s="239" t="s">
        <v>1162</v>
      </c>
      <c r="L263" s="261" t="s">
        <v>1163</v>
      </c>
      <c r="M263" s="238" t="s">
        <v>1164</v>
      </c>
      <c r="N263" s="127" t="s">
        <v>138</v>
      </c>
      <c r="O263" s="128" t="s">
        <v>139</v>
      </c>
      <c r="P263" s="126" t="s">
        <v>122</v>
      </c>
      <c r="Q263" s="262">
        <v>4</v>
      </c>
      <c r="R263" s="130" t="s">
        <v>1170</v>
      </c>
      <c r="S263" s="263" t="s">
        <v>1150</v>
      </c>
      <c r="T263" s="264">
        <v>40305</v>
      </c>
      <c r="U263" s="268" t="s">
        <v>1171</v>
      </c>
      <c r="V263" s="134" t="s">
        <v>1172</v>
      </c>
      <c r="W263" s="130" t="s">
        <v>1173</v>
      </c>
      <c r="X263" s="265">
        <v>1639002</v>
      </c>
      <c r="Y263" s="266">
        <v>1639002</v>
      </c>
      <c r="Z263" s="267">
        <f t="shared" si="29"/>
        <v>1</v>
      </c>
      <c r="AA263" s="127"/>
      <c r="AB263" s="127"/>
      <c r="AC263" s="127">
        <v>1</v>
      </c>
      <c r="AD263" s="127" t="s">
        <v>1152</v>
      </c>
      <c r="AE263" s="138"/>
      <c r="AF263" s="125"/>
      <c r="AG263" s="117" t="s">
        <v>131</v>
      </c>
      <c r="AH263" s="139" t="s">
        <v>171</v>
      </c>
      <c r="AJ263" s="120"/>
      <c r="AK263" s="120" t="s">
        <v>1174</v>
      </c>
      <c r="AL263" s="232" t="str">
        <f>VLOOKUP(AK263,'[3]17見直し計画'!$A$50:$AJ$584,6,0)</f>
        <v>根室市役所（根室市長　藤原　弘）</v>
      </c>
      <c r="AM263" s="140" t="str">
        <f>VLOOKUP(AK263,'[3]17見直し計画'!$A$50:$AJ$584,8,0)</f>
        <v>北方四島住民支援（平成１７年度患者受入事業：第１回目）について</v>
      </c>
      <c r="AN263" s="180">
        <f>VLOOKUP(AK263,'[3]17見直し計画'!$A$50:$AJ$584,10,0)</f>
        <v>38520</v>
      </c>
      <c r="AO263" s="141">
        <f>VLOOKUP(AK263,'[3]17見直し計画'!$A$50:$AJ$584,11,0)</f>
        <v>3098667</v>
      </c>
      <c r="AP263" s="140" t="str">
        <f>VLOOKUP(AK263,'[3]17見直し計画'!$A$50:$AJ$584,12,0)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263" s="140" t="str">
        <f>VLOOKUP(AK263,'[3]17見直し計画'!$A$50:$AJ$584,13,0)</f>
        <v>その他のもの</v>
      </c>
      <c r="AR263" s="140" t="str">
        <f>VLOOKUP(AK263,'[3]17見直し計画'!$A$50:$AJ$584,14,0)</f>
        <v>随意契約によらざるを得ないもの</v>
      </c>
      <c r="AS263" s="140"/>
      <c r="AT263" s="140" t="str">
        <f>VLOOKUP(AK263,'[3]17見直し計画'!$A$50:$AJ$584,35,0)</f>
        <v>場所が限定される賃貸借その他業務</v>
      </c>
      <c r="AU263" s="140" t="str">
        <f>VLOOKUP(AK263,'[3]17見直し計画'!$A$50:$AJ$584,36,0)</f>
        <v>ロ</v>
      </c>
    </row>
    <row r="264" spans="1:47" ht="105" hidden="1" customHeight="1">
      <c r="B264" s="182"/>
      <c r="C264" s="182"/>
      <c r="D264" s="223" t="s">
        <v>421</v>
      </c>
      <c r="E264">
        <f>SUM(E263+1)</f>
        <v>178</v>
      </c>
      <c r="F264" s="185">
        <v>5</v>
      </c>
      <c r="G264" s="269">
        <v>5</v>
      </c>
      <c r="H264" s="270">
        <v>2200464</v>
      </c>
      <c r="I264" s="188"/>
      <c r="J264" s="188"/>
      <c r="K264" s="201" t="s">
        <v>119</v>
      </c>
      <c r="L264" s="271" t="s">
        <v>1163</v>
      </c>
      <c r="M264" s="188" t="s">
        <v>1175</v>
      </c>
      <c r="N264" s="190" t="s">
        <v>277</v>
      </c>
      <c r="O264" s="191" t="s">
        <v>121</v>
      </c>
      <c r="P264" s="189" t="s">
        <v>231</v>
      </c>
      <c r="Q264" s="272">
        <v>5</v>
      </c>
      <c r="R264" s="193" t="s">
        <v>1176</v>
      </c>
      <c r="S264" s="273" t="s">
        <v>125</v>
      </c>
      <c r="T264" s="274">
        <v>40308</v>
      </c>
      <c r="U264" s="196" t="s">
        <v>1177</v>
      </c>
      <c r="V264" s="197" t="s">
        <v>127</v>
      </c>
      <c r="W264" s="193" t="s">
        <v>282</v>
      </c>
      <c r="X264" s="275">
        <v>511100000</v>
      </c>
      <c r="Y264" s="276">
        <v>510967701</v>
      </c>
      <c r="Z264" s="277">
        <f t="shared" si="29"/>
        <v>0.999</v>
      </c>
      <c r="AA264" s="190">
        <v>2</v>
      </c>
      <c r="AB264" s="190"/>
      <c r="AC264" s="190">
        <v>1</v>
      </c>
      <c r="AD264" s="190" t="s">
        <v>283</v>
      </c>
      <c r="AE264" s="201"/>
      <c r="AF264" s="188"/>
      <c r="AG264" s="202" t="s">
        <v>131</v>
      </c>
      <c r="AH264" s="203" t="s">
        <v>171</v>
      </c>
      <c r="AI264" s="184"/>
      <c r="AJ264" s="182" t="s">
        <v>156</v>
      </c>
      <c r="AK264" s="182" t="s">
        <v>147</v>
      </c>
      <c r="AL264" s="231" t="str">
        <f>VLOOKUP(AK264,'[3]17見直し計画'!$A$50:$AJ$584,6,0)</f>
        <v>　見直し計画策定以降の新規案件</v>
      </c>
      <c r="AM264" s="204">
        <f>VLOOKUP(AK264,'[3]17見直し計画'!$A$50:$AJ$584,8,0)</f>
        <v>0</v>
      </c>
      <c r="AN264" s="224"/>
      <c r="AO264" s="205">
        <f>VLOOKUP(AK264,'[3]17見直し計画'!$A$50:$AJ$584,11,0)</f>
        <v>0</v>
      </c>
      <c r="AP264" s="204">
        <f>VLOOKUP(AK264,'[3]17見直し計画'!$A$50:$AJ$584,12,0)</f>
        <v>0</v>
      </c>
      <c r="AQ264" s="204">
        <f>VLOOKUP(AK264,'[3]17見直し計画'!$A$50:$AJ$584,13,0)</f>
        <v>0</v>
      </c>
      <c r="AR264" s="204">
        <f>VLOOKUP(AK264,'[3]17見直し計画'!$A$50:$AJ$584,14,0)</f>
        <v>0</v>
      </c>
      <c r="AS264" s="204"/>
      <c r="AT264" s="204">
        <f>VLOOKUP(AK264,'[3]17見直し計画'!$A$50:$AJ$584,35,0)</f>
        <v>0</v>
      </c>
      <c r="AU264" s="204">
        <f>VLOOKUP(AK264,'[3]17見直し計画'!$A$50:$AJ$584,36,0)</f>
        <v>0</v>
      </c>
    </row>
    <row r="265" spans="1:47" ht="105" hidden="1" customHeight="1">
      <c r="B265" s="182"/>
      <c r="C265" s="182"/>
      <c r="D265" s="223" t="s">
        <v>421</v>
      </c>
      <c r="E265">
        <f t="shared" si="28"/>
        <v>179</v>
      </c>
      <c r="F265" s="185">
        <v>6</v>
      </c>
      <c r="G265" s="269">
        <v>6</v>
      </c>
      <c r="H265" s="270">
        <v>2200415</v>
      </c>
      <c r="I265" s="188"/>
      <c r="J265" s="188" t="s">
        <v>1178</v>
      </c>
      <c r="K265" s="201" t="s">
        <v>1085</v>
      </c>
      <c r="L265" s="271" t="s">
        <v>1163</v>
      </c>
      <c r="M265" s="188" t="s">
        <v>1175</v>
      </c>
      <c r="N265" s="190" t="s">
        <v>277</v>
      </c>
      <c r="O265" s="191" t="s">
        <v>121</v>
      </c>
      <c r="P265" s="189" t="s">
        <v>231</v>
      </c>
      <c r="Q265" s="272">
        <v>6</v>
      </c>
      <c r="R265" s="193" t="s">
        <v>1179</v>
      </c>
      <c r="S265" s="273" t="s">
        <v>125</v>
      </c>
      <c r="T265" s="274">
        <v>40308</v>
      </c>
      <c r="U265" s="196" t="s">
        <v>261</v>
      </c>
      <c r="V265" s="197" t="s">
        <v>262</v>
      </c>
      <c r="W265" s="193" t="s">
        <v>282</v>
      </c>
      <c r="X265" s="275">
        <v>51893000</v>
      </c>
      <c r="Y265" s="276">
        <v>49964224</v>
      </c>
      <c r="Z265" s="277">
        <f t="shared" si="29"/>
        <v>0.96199999999999997</v>
      </c>
      <c r="AA265" s="190">
        <v>0</v>
      </c>
      <c r="AB265" s="190"/>
      <c r="AC265" s="190">
        <v>1</v>
      </c>
      <c r="AD265" s="190" t="s">
        <v>283</v>
      </c>
      <c r="AE265" s="201"/>
      <c r="AF265" s="188"/>
      <c r="AG265" s="202" t="s">
        <v>131</v>
      </c>
      <c r="AH265" s="203" t="s">
        <v>171</v>
      </c>
      <c r="AI265" s="184"/>
      <c r="AJ265" s="182" t="s">
        <v>156</v>
      </c>
      <c r="AK265" s="182" t="s">
        <v>147</v>
      </c>
      <c r="AL265" s="231" t="str">
        <f>VLOOKUP(AK265,'[3]17見直し計画'!$A$50:$AJ$584,6,0)</f>
        <v>　見直し計画策定以降の新規案件</v>
      </c>
      <c r="AM265" s="204">
        <f>VLOOKUP(AK265,'[3]17見直し計画'!$A$50:$AJ$584,8,0)</f>
        <v>0</v>
      </c>
      <c r="AN265" s="224"/>
      <c r="AO265" s="205">
        <f>VLOOKUP(AK265,'[3]17見直し計画'!$A$50:$AJ$584,11,0)</f>
        <v>0</v>
      </c>
      <c r="AP265" s="204">
        <f>VLOOKUP(AK265,'[3]17見直し計画'!$A$50:$AJ$584,12,0)</f>
        <v>0</v>
      </c>
      <c r="AQ265" s="204">
        <f>VLOOKUP(AK265,'[3]17見直し計画'!$A$50:$AJ$584,13,0)</f>
        <v>0</v>
      </c>
      <c r="AR265" s="204">
        <f>VLOOKUP(AK265,'[3]17見直し計画'!$A$50:$AJ$584,14,0)</f>
        <v>0</v>
      </c>
      <c r="AS265" s="204"/>
      <c r="AT265" s="204">
        <f>VLOOKUP(AK265,'[3]17見直し計画'!$A$50:$AJ$584,35,0)</f>
        <v>0</v>
      </c>
      <c r="AU265" s="204">
        <f>VLOOKUP(AK265,'[3]17見直し計画'!$A$50:$AJ$584,36,0)</f>
        <v>0</v>
      </c>
    </row>
    <row r="266" spans="1:47" ht="105" hidden="1" customHeight="1">
      <c r="B266" s="182"/>
      <c r="C266" s="182" t="s">
        <v>1180</v>
      </c>
      <c r="D266" s="223" t="s">
        <v>873</v>
      </c>
      <c r="E266">
        <f t="shared" si="28"/>
        <v>180</v>
      </c>
      <c r="F266" s="185">
        <v>7</v>
      </c>
      <c r="G266" s="269">
        <v>7</v>
      </c>
      <c r="H266" s="270">
        <v>2200468</v>
      </c>
      <c r="I266" s="188"/>
      <c r="J266" s="188" t="s">
        <v>1181</v>
      </c>
      <c r="K266" s="201" t="s">
        <v>461</v>
      </c>
      <c r="L266" s="271" t="s">
        <v>1182</v>
      </c>
      <c r="M266" s="188" t="s">
        <v>1183</v>
      </c>
      <c r="N266" s="190" t="s">
        <v>230</v>
      </c>
      <c r="O266" s="191" t="s">
        <v>139</v>
      </c>
      <c r="P266" s="189" t="s">
        <v>231</v>
      </c>
      <c r="Q266" s="272">
        <v>7</v>
      </c>
      <c r="R266" s="193" t="s">
        <v>1184</v>
      </c>
      <c r="S266" s="273" t="s">
        <v>125</v>
      </c>
      <c r="T266" s="274">
        <v>40308</v>
      </c>
      <c r="U266" s="278" t="s">
        <v>1185</v>
      </c>
      <c r="V266" s="197" t="s">
        <v>1186</v>
      </c>
      <c r="W266" s="193" t="s">
        <v>1187</v>
      </c>
      <c r="X266" s="275">
        <v>40240000</v>
      </c>
      <c r="Y266" s="276">
        <v>40215000</v>
      </c>
      <c r="Z266" s="277">
        <f t="shared" si="29"/>
        <v>0.999</v>
      </c>
      <c r="AA266" s="190"/>
      <c r="AB266" s="190"/>
      <c r="AC266" s="190">
        <v>2</v>
      </c>
      <c r="AD266" s="190" t="s">
        <v>427</v>
      </c>
      <c r="AE266" s="201"/>
      <c r="AF266" s="188"/>
      <c r="AG266" s="202" t="s">
        <v>131</v>
      </c>
      <c r="AH266" s="203" t="s">
        <v>428</v>
      </c>
      <c r="AI266" s="184"/>
      <c r="AJ266" s="182"/>
      <c r="AK266" s="182" t="s">
        <v>147</v>
      </c>
      <c r="AL266" s="231" t="str">
        <f>VLOOKUP(AK266,'[3]17見直し計画'!$A$50:$AJ$584,6,0)</f>
        <v>　見直し計画策定以降の新規案件</v>
      </c>
      <c r="AM266" s="204">
        <f>VLOOKUP(AK266,'[3]17見直し計画'!$A$50:$AJ$584,8,0)</f>
        <v>0</v>
      </c>
      <c r="AN266" s="224"/>
      <c r="AO266" s="205">
        <f>VLOOKUP(AK266,'[3]17見直し計画'!$A$50:$AJ$584,11,0)</f>
        <v>0</v>
      </c>
      <c r="AP266" s="204">
        <f>VLOOKUP(AK266,'[3]17見直し計画'!$A$50:$AJ$584,12,0)</f>
        <v>0</v>
      </c>
      <c r="AQ266" s="204">
        <f>VLOOKUP(AK266,'[3]17見直し計画'!$A$50:$AJ$584,13,0)</f>
        <v>0</v>
      </c>
      <c r="AR266" s="204">
        <f>VLOOKUP(AK266,'[3]17見直し計画'!$A$50:$AJ$584,14,0)</f>
        <v>0</v>
      </c>
      <c r="AS266" s="204"/>
      <c r="AT266" s="204">
        <f>VLOOKUP(AK266,'[3]17見直し計画'!$A$50:$AJ$584,35,0)</f>
        <v>0</v>
      </c>
      <c r="AU266" s="204">
        <f>VLOOKUP(AK266,'[3]17見直し計画'!$A$50:$AJ$584,36,0)</f>
        <v>0</v>
      </c>
    </row>
    <row r="267" spans="1:47" ht="105" hidden="1" customHeight="1">
      <c r="B267" s="182"/>
      <c r="C267" s="182"/>
      <c r="D267" s="223" t="s">
        <v>752</v>
      </c>
      <c r="E267">
        <f t="shared" si="28"/>
        <v>181</v>
      </c>
      <c r="F267" s="185">
        <v>8</v>
      </c>
      <c r="G267" s="269">
        <v>8</v>
      </c>
      <c r="H267" s="270">
        <v>2200013</v>
      </c>
      <c r="I267" s="188"/>
      <c r="J267" s="201" t="s">
        <v>1188</v>
      </c>
      <c r="K267" s="201" t="s">
        <v>1189</v>
      </c>
      <c r="L267" s="271" t="s">
        <v>1190</v>
      </c>
      <c r="M267" s="188" t="s">
        <v>1191</v>
      </c>
      <c r="N267" s="190" t="s">
        <v>230</v>
      </c>
      <c r="O267" s="191" t="s">
        <v>139</v>
      </c>
      <c r="P267" s="189" t="s">
        <v>231</v>
      </c>
      <c r="Q267" s="272">
        <v>8</v>
      </c>
      <c r="R267" s="193" t="s">
        <v>1192</v>
      </c>
      <c r="S267" s="273" t="s">
        <v>125</v>
      </c>
      <c r="T267" s="274">
        <v>40308</v>
      </c>
      <c r="U267" s="278" t="s">
        <v>1193</v>
      </c>
      <c r="V267" s="197" t="s">
        <v>1194</v>
      </c>
      <c r="W267" s="193" t="s">
        <v>1195</v>
      </c>
      <c r="X267" s="275">
        <v>18027000</v>
      </c>
      <c r="Y267" s="276">
        <v>17745000</v>
      </c>
      <c r="Z267" s="277">
        <f t="shared" si="29"/>
        <v>0.98399999999999999</v>
      </c>
      <c r="AA267" s="190"/>
      <c r="AB267" s="190"/>
      <c r="AC267" s="190">
        <v>6</v>
      </c>
      <c r="AD267" s="190" t="s">
        <v>237</v>
      </c>
      <c r="AE267" s="201"/>
      <c r="AF267" s="188"/>
      <c r="AG267" s="202" t="s">
        <v>131</v>
      </c>
      <c r="AH267" s="203" t="s">
        <v>238</v>
      </c>
      <c r="AI267" s="184"/>
      <c r="AJ267" s="182"/>
      <c r="AK267" s="182" t="s">
        <v>147</v>
      </c>
      <c r="AL267" s="231" t="str">
        <f>VLOOKUP(AK267,'[3]17見直し計画'!$A$50:$AJ$584,6,0)</f>
        <v>　見直し計画策定以降の新規案件</v>
      </c>
      <c r="AM267" s="204">
        <f>VLOOKUP(AK267,'[3]17見直し計画'!$A$50:$AJ$584,8,0)</f>
        <v>0</v>
      </c>
      <c r="AN267" s="224"/>
      <c r="AO267" s="205">
        <f>VLOOKUP(AK267,'[3]17見直し計画'!$A$50:$AJ$584,11,0)</f>
        <v>0</v>
      </c>
      <c r="AP267" s="204">
        <f>VLOOKUP(AK267,'[3]17見直し計画'!$A$50:$AJ$584,12,0)</f>
        <v>0</v>
      </c>
      <c r="AQ267" s="204">
        <f>VLOOKUP(AK267,'[3]17見直し計画'!$A$50:$AJ$584,13,0)</f>
        <v>0</v>
      </c>
      <c r="AR267" s="204">
        <f>VLOOKUP(AK267,'[3]17見直し計画'!$A$50:$AJ$584,14,0)</f>
        <v>0</v>
      </c>
      <c r="AS267" s="204"/>
      <c r="AT267" s="204">
        <f>VLOOKUP(AK267,'[3]17見直し計画'!$A$50:$AJ$584,35,0)</f>
        <v>0</v>
      </c>
      <c r="AU267" s="204">
        <f>VLOOKUP(AK267,'[3]17見直し計画'!$A$50:$AJ$584,36,0)</f>
        <v>0</v>
      </c>
    </row>
    <row r="268" spans="1:47" ht="105" hidden="1" customHeight="1">
      <c r="B268" s="182"/>
      <c r="C268" s="182"/>
      <c r="D268" s="223" t="s">
        <v>873</v>
      </c>
      <c r="E268">
        <f t="shared" si="28"/>
        <v>182</v>
      </c>
      <c r="F268" s="185">
        <v>9</v>
      </c>
      <c r="G268" s="269">
        <v>9</v>
      </c>
      <c r="H268" s="270">
        <v>2200375</v>
      </c>
      <c r="I268" s="188"/>
      <c r="J268" s="188" t="s">
        <v>1196</v>
      </c>
      <c r="K268" s="201" t="s">
        <v>1162</v>
      </c>
      <c r="L268" s="271" t="s">
        <v>1163</v>
      </c>
      <c r="M268" s="188" t="s">
        <v>1164</v>
      </c>
      <c r="N268" s="190" t="s">
        <v>277</v>
      </c>
      <c r="O268" s="191" t="s">
        <v>121</v>
      </c>
      <c r="P268" s="189" t="s">
        <v>231</v>
      </c>
      <c r="Q268" s="272">
        <v>9</v>
      </c>
      <c r="R268" s="193" t="s">
        <v>1197</v>
      </c>
      <c r="S268" s="273" t="s">
        <v>125</v>
      </c>
      <c r="T268" s="274">
        <v>40308</v>
      </c>
      <c r="U268" s="278" t="s">
        <v>1198</v>
      </c>
      <c r="V268" s="197" t="s">
        <v>1199</v>
      </c>
      <c r="W268" s="193" t="s">
        <v>282</v>
      </c>
      <c r="X268" s="275">
        <v>8000000</v>
      </c>
      <c r="Y268" s="276">
        <v>7999939</v>
      </c>
      <c r="Z268" s="277">
        <f t="shared" si="29"/>
        <v>0.999</v>
      </c>
      <c r="AA268" s="190">
        <v>3</v>
      </c>
      <c r="AB268" s="190"/>
      <c r="AC268" s="190">
        <v>1</v>
      </c>
      <c r="AD268" s="190" t="s">
        <v>283</v>
      </c>
      <c r="AE268" s="201"/>
      <c r="AF268" s="188"/>
      <c r="AG268" s="202" t="s">
        <v>131</v>
      </c>
      <c r="AH268" s="203" t="s">
        <v>171</v>
      </c>
      <c r="AI268" s="184"/>
      <c r="AJ268" s="182"/>
      <c r="AK268" s="182" t="s">
        <v>1200</v>
      </c>
      <c r="AL268" s="231" t="str">
        <f>VLOOKUP(AK268,'[3]17見直し計画'!$A$50:$AJ$584,6,0)</f>
        <v>財団法人社会経済生産性本部</v>
      </c>
      <c r="AM268" s="204" t="str">
        <f>VLOOKUP(AK268,'[3]17見直し計画'!$A$50:$AJ$584,8,0)</f>
        <v>日本センターＯＪＴ研修「機械製造ＯＪＴ」実施委嘱</v>
      </c>
      <c r="AN268" s="224">
        <f>VLOOKUP(AK268,'[3]17見直し計画'!$A$50:$AJ$584,10,0)</f>
        <v>38677</v>
      </c>
      <c r="AO268" s="205">
        <f>VLOOKUP(AK268,'[3]17見直し計画'!$A$50:$AJ$584,11,0)</f>
        <v>12252400</v>
      </c>
      <c r="AP268" s="204" t="str">
        <f>VLOOKUP(AK268,'[3]17見直し計画'!$A$50:$AJ$584,12,0)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68" s="204" t="str">
        <f>VLOOKUP(AK268,'[3]17見直し計画'!$A$50:$AJ$584,13,0)</f>
        <v>見直しの余地があるもの</v>
      </c>
      <c r="AR268" s="204" t="str">
        <f>VLOOKUP(AK268,'[3]17見直し計画'!$A$50:$AJ$584,14,0)</f>
        <v>企画招請を実施（１８年度以降も引き続き実施）</v>
      </c>
      <c r="AS268" s="204"/>
      <c r="AT268" s="204">
        <f>VLOOKUP(AK268,'[3]17見直し計画'!$A$50:$AJ$584,35,0)</f>
        <v>0</v>
      </c>
      <c r="AU268" s="204">
        <f>VLOOKUP(AK268,'[3]17見直し計画'!$A$50:$AJ$584,36,0)</f>
        <v>0</v>
      </c>
    </row>
    <row r="269" spans="1:47" ht="105" hidden="1" customHeight="1">
      <c r="A269" t="s">
        <v>148</v>
      </c>
      <c r="B269" s="126" t="s">
        <v>218</v>
      </c>
      <c r="C269" s="279" t="s">
        <v>135</v>
      </c>
      <c r="D269" s="280" t="s">
        <v>136</v>
      </c>
      <c r="E269">
        <f t="shared" si="28"/>
        <v>183</v>
      </c>
      <c r="F269" s="122">
        <v>10</v>
      </c>
      <c r="G269" s="259">
        <v>10</v>
      </c>
      <c r="H269" s="260">
        <v>2200628</v>
      </c>
      <c r="I269" s="238"/>
      <c r="J269" s="238" t="s">
        <v>1201</v>
      </c>
      <c r="K269" s="239" t="s">
        <v>501</v>
      </c>
      <c r="L269" s="261" t="s">
        <v>1202</v>
      </c>
      <c r="M269" s="238" t="s">
        <v>1203</v>
      </c>
      <c r="N269" s="127" t="s">
        <v>138</v>
      </c>
      <c r="O269" s="128" t="s">
        <v>139</v>
      </c>
      <c r="P269" s="126" t="s">
        <v>122</v>
      </c>
      <c r="Q269" s="262">
        <v>10</v>
      </c>
      <c r="R269" s="130" t="s">
        <v>1204</v>
      </c>
      <c r="S269" s="263" t="s">
        <v>125</v>
      </c>
      <c r="T269" s="264">
        <v>40308</v>
      </c>
      <c r="U269" s="268" t="s">
        <v>1205</v>
      </c>
      <c r="V269" s="134" t="s">
        <v>1206</v>
      </c>
      <c r="W269" s="130" t="s">
        <v>1207</v>
      </c>
      <c r="X269" s="265">
        <v>1910850</v>
      </c>
      <c r="Y269" s="281">
        <v>859882</v>
      </c>
      <c r="Z269" s="267">
        <f t="shared" si="29"/>
        <v>0.44900000000000001</v>
      </c>
      <c r="AA269" s="127"/>
      <c r="AB269" s="127" t="s">
        <v>1208</v>
      </c>
      <c r="AC269" s="127">
        <v>1</v>
      </c>
      <c r="AD269" s="127" t="s">
        <v>1152</v>
      </c>
      <c r="AE269" s="138"/>
      <c r="AF269" s="125"/>
      <c r="AG269" s="117" t="s">
        <v>131</v>
      </c>
      <c r="AH269" s="139" t="s">
        <v>171</v>
      </c>
      <c r="AI269" s="177" t="s">
        <v>156</v>
      </c>
      <c r="AJ269" s="120"/>
      <c r="AK269" s="120" t="s">
        <v>147</v>
      </c>
      <c r="AL269" s="232" t="str">
        <f>VLOOKUP(AK269,'[3]17見直し計画'!$A$50:$AJ$584,6,0)</f>
        <v>　見直し計画策定以降の新規案件</v>
      </c>
      <c r="AM269" s="140">
        <f>VLOOKUP(AK269,'[3]17見直し計画'!$A$50:$AJ$584,8,0)</f>
        <v>0</v>
      </c>
      <c r="AN269" s="180"/>
      <c r="AO269" s="141">
        <f>VLOOKUP(AK269,'[3]17見直し計画'!$A$50:$AJ$584,11,0)</f>
        <v>0</v>
      </c>
      <c r="AP269" s="140">
        <f>VLOOKUP(AK269,'[3]17見直し計画'!$A$50:$AJ$584,12,0)</f>
        <v>0</v>
      </c>
      <c r="AQ269" s="140">
        <f>VLOOKUP(AK269,'[3]17見直し計画'!$A$50:$AJ$584,13,0)</f>
        <v>0</v>
      </c>
      <c r="AR269" s="140">
        <f>VLOOKUP(AK269,'[3]17見直し計画'!$A$50:$AJ$584,14,0)</f>
        <v>0</v>
      </c>
      <c r="AS269" s="140"/>
      <c r="AT269" s="140">
        <f>VLOOKUP(AK269,'[3]17見直し計画'!$A$50:$AJ$584,35,0)</f>
        <v>0</v>
      </c>
      <c r="AU269" s="140">
        <f>VLOOKUP(AK269,'[3]17見直し計画'!$A$50:$AJ$584,36,0)</f>
        <v>0</v>
      </c>
    </row>
    <row r="270" spans="1:47" ht="105" hidden="1" customHeight="1">
      <c r="B270" s="182"/>
      <c r="C270" s="182"/>
      <c r="D270" s="223" t="s">
        <v>421</v>
      </c>
      <c r="E270">
        <f t="shared" si="28"/>
        <v>184</v>
      </c>
      <c r="F270" s="185">
        <v>11</v>
      </c>
      <c r="G270" s="269">
        <v>11</v>
      </c>
      <c r="H270" s="270">
        <v>2200458</v>
      </c>
      <c r="I270" s="188"/>
      <c r="J270" s="188" t="s">
        <v>1209</v>
      </c>
      <c r="K270" s="201" t="s">
        <v>258</v>
      </c>
      <c r="L270" s="271" t="s">
        <v>1163</v>
      </c>
      <c r="M270" s="188" t="s">
        <v>1210</v>
      </c>
      <c r="N270" s="190" t="s">
        <v>230</v>
      </c>
      <c r="O270" s="191" t="s">
        <v>139</v>
      </c>
      <c r="P270" s="189" t="s">
        <v>231</v>
      </c>
      <c r="Q270" s="272">
        <v>11</v>
      </c>
      <c r="R270" s="193" t="s">
        <v>1211</v>
      </c>
      <c r="S270" s="273" t="s">
        <v>125</v>
      </c>
      <c r="T270" s="274">
        <v>40310</v>
      </c>
      <c r="U270" s="278" t="s">
        <v>1212</v>
      </c>
      <c r="V270" s="197" t="s">
        <v>1213</v>
      </c>
      <c r="W270" s="193" t="s">
        <v>282</v>
      </c>
      <c r="X270" s="275">
        <v>65586000</v>
      </c>
      <c r="Y270" s="276">
        <v>61772280</v>
      </c>
      <c r="Z270" s="277">
        <f t="shared" si="29"/>
        <v>0.94099999999999995</v>
      </c>
      <c r="AA270" s="190"/>
      <c r="AB270" s="190"/>
      <c r="AC270" s="190">
        <v>2</v>
      </c>
      <c r="AD270" s="190" t="s">
        <v>427</v>
      </c>
      <c r="AE270" s="201"/>
      <c r="AF270" s="188"/>
      <c r="AG270" s="202" t="s">
        <v>131</v>
      </c>
      <c r="AH270" s="203" t="s">
        <v>428</v>
      </c>
      <c r="AI270" s="184"/>
      <c r="AJ270" s="182" t="s">
        <v>156</v>
      </c>
      <c r="AK270" s="182" t="s">
        <v>147</v>
      </c>
      <c r="AL270" s="231" t="str">
        <f>VLOOKUP(AK270,'[3]17見直し計画'!$A$50:$AJ$584,6,0)</f>
        <v>　見直し計画策定以降の新規案件</v>
      </c>
      <c r="AM270" s="204">
        <f>VLOOKUP(AK270,'[3]17見直し計画'!$A$50:$AJ$584,8,0)</f>
        <v>0</v>
      </c>
      <c r="AN270" s="224"/>
      <c r="AO270" s="205">
        <f>VLOOKUP(AK270,'[3]17見直し計画'!$A$50:$AJ$584,11,0)</f>
        <v>0</v>
      </c>
      <c r="AP270" s="204">
        <f>VLOOKUP(AK270,'[3]17見直し計画'!$A$50:$AJ$584,12,0)</f>
        <v>0</v>
      </c>
      <c r="AQ270" s="204">
        <f>VLOOKUP(AK270,'[3]17見直し計画'!$A$50:$AJ$584,13,0)</f>
        <v>0</v>
      </c>
      <c r="AR270" s="204">
        <f>VLOOKUP(AK270,'[3]17見直し計画'!$A$50:$AJ$584,14,0)</f>
        <v>0</v>
      </c>
      <c r="AS270" s="204"/>
      <c r="AT270" s="204">
        <f>VLOOKUP(AK270,'[3]17見直し計画'!$A$50:$AJ$584,35,0)</f>
        <v>0</v>
      </c>
      <c r="AU270" s="204">
        <f>VLOOKUP(AK270,'[3]17見直し計画'!$A$50:$AJ$584,36,0)</f>
        <v>0</v>
      </c>
    </row>
    <row r="271" spans="1:47" ht="105" hidden="1" customHeight="1">
      <c r="B271" s="182"/>
      <c r="C271" s="182"/>
      <c r="D271" s="223" t="s">
        <v>421</v>
      </c>
      <c r="E271">
        <f t="shared" si="28"/>
        <v>185</v>
      </c>
      <c r="F271" s="185">
        <v>12</v>
      </c>
      <c r="G271" s="269">
        <v>12</v>
      </c>
      <c r="H271" s="270">
        <v>2200407</v>
      </c>
      <c r="I271" s="188"/>
      <c r="J271" s="188" t="s">
        <v>1214</v>
      </c>
      <c r="K271" s="201" t="s">
        <v>1162</v>
      </c>
      <c r="L271" s="271" t="s">
        <v>1163</v>
      </c>
      <c r="M271" s="188" t="s">
        <v>1164</v>
      </c>
      <c r="N271" s="190" t="s">
        <v>911</v>
      </c>
      <c r="O271" s="191" t="s">
        <v>688</v>
      </c>
      <c r="P271" s="189" t="s">
        <v>231</v>
      </c>
      <c r="Q271" s="272">
        <v>12</v>
      </c>
      <c r="R271" s="193" t="s">
        <v>1215</v>
      </c>
      <c r="S271" s="273" t="s">
        <v>125</v>
      </c>
      <c r="T271" s="274">
        <v>40310</v>
      </c>
      <c r="U271" s="196" t="s">
        <v>1216</v>
      </c>
      <c r="V271" s="197" t="s">
        <v>1167</v>
      </c>
      <c r="W271" s="193" t="s">
        <v>282</v>
      </c>
      <c r="X271" s="275">
        <v>13000000</v>
      </c>
      <c r="Y271" s="276">
        <v>12997777</v>
      </c>
      <c r="Z271" s="277">
        <f t="shared" si="29"/>
        <v>0.999</v>
      </c>
      <c r="AA271" s="190">
        <v>0</v>
      </c>
      <c r="AB271" s="190"/>
      <c r="AC271" s="190">
        <v>2</v>
      </c>
      <c r="AD271" s="190" t="s">
        <v>1217</v>
      </c>
      <c r="AE271" s="201"/>
      <c r="AF271" s="188"/>
      <c r="AG271" s="202" t="s">
        <v>131</v>
      </c>
      <c r="AH271" s="203" t="s">
        <v>428</v>
      </c>
      <c r="AI271" s="184"/>
      <c r="AJ271" s="182"/>
      <c r="AK271" s="182" t="s">
        <v>147</v>
      </c>
      <c r="AL271" s="231" t="str">
        <f>VLOOKUP(AK271,'[3]17見直し計画'!$A$50:$AJ$584,6,0)</f>
        <v>　見直し計画策定以降の新規案件</v>
      </c>
      <c r="AM271" s="204">
        <f>VLOOKUP(AK271,'[3]17見直し計画'!$A$50:$AJ$584,8,0)</f>
        <v>0</v>
      </c>
      <c r="AN271" s="224"/>
      <c r="AO271" s="205">
        <f>VLOOKUP(AK271,'[3]17見直し計画'!$A$50:$AJ$584,11,0)</f>
        <v>0</v>
      </c>
      <c r="AP271" s="204">
        <f>VLOOKUP(AK271,'[3]17見直し計画'!$A$50:$AJ$584,12,0)</f>
        <v>0</v>
      </c>
      <c r="AQ271" s="204">
        <f>VLOOKUP(AK271,'[3]17見直し計画'!$A$50:$AJ$584,13,0)</f>
        <v>0</v>
      </c>
      <c r="AR271" s="204">
        <f>VLOOKUP(AK271,'[3]17見直し計画'!$A$50:$AJ$584,14,0)</f>
        <v>0</v>
      </c>
      <c r="AS271" s="204"/>
      <c r="AT271" s="204">
        <f>VLOOKUP(AK271,'[3]17見直し計画'!$A$50:$AJ$584,35,0)</f>
        <v>0</v>
      </c>
      <c r="AU271" s="204">
        <f>VLOOKUP(AK271,'[3]17見直し計画'!$A$50:$AJ$584,36,0)</f>
        <v>0</v>
      </c>
    </row>
    <row r="272" spans="1:47" ht="105" hidden="1" customHeight="1">
      <c r="B272" s="182"/>
      <c r="C272" s="182"/>
      <c r="D272" s="223" t="s">
        <v>421</v>
      </c>
      <c r="E272">
        <f t="shared" si="28"/>
        <v>186</v>
      </c>
      <c r="F272" s="185">
        <v>13</v>
      </c>
      <c r="G272" s="269">
        <v>13</v>
      </c>
      <c r="H272" s="270">
        <v>2200408</v>
      </c>
      <c r="I272" s="188"/>
      <c r="J272" s="188" t="s">
        <v>1218</v>
      </c>
      <c r="K272" s="201" t="s">
        <v>1162</v>
      </c>
      <c r="L272" s="271" t="s">
        <v>1163</v>
      </c>
      <c r="M272" s="188" t="s">
        <v>1164</v>
      </c>
      <c r="N272" s="190" t="s">
        <v>911</v>
      </c>
      <c r="O272" s="191" t="s">
        <v>688</v>
      </c>
      <c r="P272" s="189" t="s">
        <v>231</v>
      </c>
      <c r="Q272" s="272">
        <v>13</v>
      </c>
      <c r="R272" s="193" t="s">
        <v>1219</v>
      </c>
      <c r="S272" s="273" t="s">
        <v>125</v>
      </c>
      <c r="T272" s="274">
        <v>40310</v>
      </c>
      <c r="U272" s="196" t="s">
        <v>1166</v>
      </c>
      <c r="V272" s="197" t="s">
        <v>1167</v>
      </c>
      <c r="W272" s="193" t="s">
        <v>282</v>
      </c>
      <c r="X272" s="275">
        <v>9000000</v>
      </c>
      <c r="Y272" s="276">
        <v>8990728</v>
      </c>
      <c r="Z272" s="277">
        <f t="shared" si="29"/>
        <v>0.998</v>
      </c>
      <c r="AA272" s="190">
        <v>0</v>
      </c>
      <c r="AB272" s="190"/>
      <c r="AC272" s="190">
        <v>2</v>
      </c>
      <c r="AD272" s="190" t="s">
        <v>1217</v>
      </c>
      <c r="AE272" s="201"/>
      <c r="AF272" s="188"/>
      <c r="AG272" s="202" t="s">
        <v>131</v>
      </c>
      <c r="AH272" s="203" t="s">
        <v>428</v>
      </c>
      <c r="AI272" s="184"/>
      <c r="AJ272" s="182"/>
      <c r="AK272" s="182" t="s">
        <v>147</v>
      </c>
      <c r="AL272" s="231" t="str">
        <f>VLOOKUP(AK272,'[3]17見直し計画'!$A$50:$AJ$584,6,0)</f>
        <v>　見直し計画策定以降の新規案件</v>
      </c>
      <c r="AM272" s="204">
        <f>VLOOKUP(AK272,'[3]17見直し計画'!$A$50:$AJ$584,8,0)</f>
        <v>0</v>
      </c>
      <c r="AN272" s="224"/>
      <c r="AO272" s="205">
        <f>VLOOKUP(AK272,'[3]17見直し計画'!$A$50:$AJ$584,11,0)</f>
        <v>0</v>
      </c>
      <c r="AP272" s="204">
        <f>VLOOKUP(AK272,'[3]17見直し計画'!$A$50:$AJ$584,12,0)</f>
        <v>0</v>
      </c>
      <c r="AQ272" s="204">
        <f>VLOOKUP(AK272,'[3]17見直し計画'!$A$50:$AJ$584,13,0)</f>
        <v>0</v>
      </c>
      <c r="AR272" s="204">
        <f>VLOOKUP(AK272,'[3]17見直し計画'!$A$50:$AJ$584,14,0)</f>
        <v>0</v>
      </c>
      <c r="AS272" s="204"/>
      <c r="AT272" s="204">
        <f>VLOOKUP(AK272,'[3]17見直し計画'!$A$50:$AJ$584,35,0)</f>
        <v>0</v>
      </c>
      <c r="AU272" s="204">
        <f>VLOOKUP(AK272,'[3]17見直し計画'!$A$50:$AJ$584,36,0)</f>
        <v>0</v>
      </c>
    </row>
    <row r="273" spans="2:47" ht="105" hidden="1" customHeight="1">
      <c r="B273" s="143" t="s">
        <v>1220</v>
      </c>
      <c r="C273" s="222" t="s">
        <v>255</v>
      </c>
      <c r="D273" s="143" t="s">
        <v>256</v>
      </c>
      <c r="E273">
        <f t="shared" si="28"/>
        <v>187</v>
      </c>
      <c r="F273" s="122">
        <v>14</v>
      </c>
      <c r="G273" s="259">
        <v>14</v>
      </c>
      <c r="H273" s="260">
        <v>2200460</v>
      </c>
      <c r="I273" s="238"/>
      <c r="J273" s="238" t="s">
        <v>1221</v>
      </c>
      <c r="K273" s="239" t="s">
        <v>1222</v>
      </c>
      <c r="L273" s="261" t="s">
        <v>1190</v>
      </c>
      <c r="M273" s="238" t="s">
        <v>1223</v>
      </c>
      <c r="N273" s="127" t="s">
        <v>1070</v>
      </c>
      <c r="O273" s="128" t="s">
        <v>139</v>
      </c>
      <c r="P273" s="126" t="s">
        <v>1071</v>
      </c>
      <c r="Q273" s="262">
        <v>14</v>
      </c>
      <c r="R273" s="130" t="s">
        <v>1224</v>
      </c>
      <c r="S273" s="263" t="s">
        <v>125</v>
      </c>
      <c r="T273" s="264">
        <v>40310</v>
      </c>
      <c r="U273" s="268" t="s">
        <v>1225</v>
      </c>
      <c r="V273" s="134" t="s">
        <v>1226</v>
      </c>
      <c r="W273" s="130" t="s">
        <v>1227</v>
      </c>
      <c r="X273" s="265">
        <v>1065500</v>
      </c>
      <c r="Y273" s="266">
        <v>1065500</v>
      </c>
      <c r="Z273" s="267">
        <f t="shared" si="29"/>
        <v>1</v>
      </c>
      <c r="AA273" s="127"/>
      <c r="AB273" s="127"/>
      <c r="AC273" s="127">
        <v>1</v>
      </c>
      <c r="AD273" s="127" t="s">
        <v>1228</v>
      </c>
      <c r="AE273" s="138"/>
      <c r="AF273" s="125"/>
      <c r="AG273" s="117" t="s">
        <v>131</v>
      </c>
      <c r="AH273" s="139" t="s">
        <v>171</v>
      </c>
      <c r="AJ273" s="120"/>
      <c r="AK273" s="120" t="s">
        <v>147</v>
      </c>
      <c r="AL273" s="232" t="str">
        <f>VLOOKUP(AK273,'[3]17見直し計画'!$A$50:$AJ$584,6,0)</f>
        <v>　見直し計画策定以降の新規案件</v>
      </c>
      <c r="AM273" s="140">
        <f>VLOOKUP(AK273,'[3]17見直し計画'!$A$50:$AJ$584,8,0)</f>
        <v>0</v>
      </c>
      <c r="AN273" s="180"/>
      <c r="AO273" s="141">
        <f>VLOOKUP(AK273,'[3]17見直し計画'!$A$50:$AJ$584,11,0)</f>
        <v>0</v>
      </c>
      <c r="AP273" s="140">
        <f>VLOOKUP(AK273,'[3]17見直し計画'!$A$50:$AJ$584,12,0)</f>
        <v>0</v>
      </c>
      <c r="AQ273" s="140">
        <f>VLOOKUP(AK273,'[3]17見直し計画'!$A$50:$AJ$584,13,0)</f>
        <v>0</v>
      </c>
      <c r="AR273" s="140">
        <f>VLOOKUP(AK273,'[3]17見直し計画'!$A$50:$AJ$584,14,0)</f>
        <v>0</v>
      </c>
      <c r="AS273" s="140"/>
      <c r="AT273" s="140">
        <f>VLOOKUP(AK273,'[3]17見直し計画'!$A$50:$AJ$584,35,0)</f>
        <v>0</v>
      </c>
      <c r="AU273" s="140">
        <f>VLOOKUP(AK273,'[3]17見直し計画'!$A$50:$AJ$584,36,0)</f>
        <v>0</v>
      </c>
    </row>
    <row r="274" spans="2:47" ht="105" hidden="1" customHeight="1">
      <c r="B274" s="126" t="s">
        <v>218</v>
      </c>
      <c r="C274" s="120" t="s">
        <v>135</v>
      </c>
      <c r="D274" s="143" t="s">
        <v>136</v>
      </c>
      <c r="E274">
        <f t="shared" si="28"/>
        <v>188</v>
      </c>
      <c r="F274" s="122">
        <v>15</v>
      </c>
      <c r="G274" s="259">
        <v>15</v>
      </c>
      <c r="H274" s="260">
        <v>2200470</v>
      </c>
      <c r="I274" s="238"/>
      <c r="J274" s="238" t="s">
        <v>1229</v>
      </c>
      <c r="K274" s="239" t="s">
        <v>1230</v>
      </c>
      <c r="L274" s="261" t="s">
        <v>1163</v>
      </c>
      <c r="M274" s="238" t="s">
        <v>1164</v>
      </c>
      <c r="N274" s="127" t="s">
        <v>138</v>
      </c>
      <c r="O274" s="128" t="s">
        <v>139</v>
      </c>
      <c r="P274" s="126" t="s">
        <v>122</v>
      </c>
      <c r="Q274" s="262">
        <v>15</v>
      </c>
      <c r="R274" s="130" t="s">
        <v>1231</v>
      </c>
      <c r="S274" s="263" t="s">
        <v>125</v>
      </c>
      <c r="T274" s="264">
        <v>40312</v>
      </c>
      <c r="U274" s="133" t="s">
        <v>1232</v>
      </c>
      <c r="V274" s="134" t="s">
        <v>1233</v>
      </c>
      <c r="W274" s="130" t="s">
        <v>1234</v>
      </c>
      <c r="X274" s="265">
        <v>1180603</v>
      </c>
      <c r="Y274" s="266">
        <v>1180603</v>
      </c>
      <c r="Z274" s="267">
        <f t="shared" si="29"/>
        <v>1</v>
      </c>
      <c r="AA274" s="127"/>
      <c r="AB274" s="127"/>
      <c r="AC274" s="127">
        <v>1</v>
      </c>
      <c r="AD274" s="127" t="s">
        <v>1152</v>
      </c>
      <c r="AE274" s="138"/>
      <c r="AF274" s="125"/>
      <c r="AG274" s="117" t="s">
        <v>131</v>
      </c>
      <c r="AH274" s="139" t="s">
        <v>171</v>
      </c>
      <c r="AJ274" s="120"/>
      <c r="AK274" s="120" t="s">
        <v>147</v>
      </c>
      <c r="AL274" s="232" t="str">
        <f>VLOOKUP(AK274,'[3]17見直し計画'!$A$50:$AJ$584,6,0)</f>
        <v>　見直し計画策定以降の新規案件</v>
      </c>
      <c r="AM274" s="140">
        <f>VLOOKUP(AK274,'[3]17見直し計画'!$A$50:$AJ$584,8,0)</f>
        <v>0</v>
      </c>
      <c r="AN274" s="180"/>
      <c r="AO274" s="141">
        <f>VLOOKUP(AK274,'[3]17見直し計画'!$A$50:$AJ$584,11,0)</f>
        <v>0</v>
      </c>
      <c r="AP274" s="140">
        <f>VLOOKUP(AK274,'[3]17見直し計画'!$A$50:$AJ$584,12,0)</f>
        <v>0</v>
      </c>
      <c r="AQ274" s="140">
        <f>VLOOKUP(AK274,'[3]17見直し計画'!$A$50:$AJ$584,13,0)</f>
        <v>0</v>
      </c>
      <c r="AR274" s="140">
        <f>VLOOKUP(AK274,'[3]17見直し計画'!$A$50:$AJ$584,14,0)</f>
        <v>0</v>
      </c>
      <c r="AS274" s="140"/>
      <c r="AT274" s="140">
        <f>VLOOKUP(AK274,'[3]17見直し計画'!$A$50:$AJ$584,35,0)</f>
        <v>0</v>
      </c>
      <c r="AU274" s="140">
        <f>VLOOKUP(AK274,'[3]17見直し計画'!$A$50:$AJ$584,36,0)</f>
        <v>0</v>
      </c>
    </row>
    <row r="275" spans="2:47" ht="105" hidden="1" customHeight="1">
      <c r="B275" s="126" t="s">
        <v>134</v>
      </c>
      <c r="C275" s="120" t="s">
        <v>135</v>
      </c>
      <c r="D275" s="143" t="s">
        <v>136</v>
      </c>
      <c r="E275">
        <f t="shared" si="28"/>
        <v>189</v>
      </c>
      <c r="F275" s="122">
        <v>16</v>
      </c>
      <c r="G275" s="259">
        <v>18</v>
      </c>
      <c r="H275" s="260">
        <v>2200485</v>
      </c>
      <c r="I275" s="238"/>
      <c r="J275" s="238" t="s">
        <v>1235</v>
      </c>
      <c r="K275" s="239" t="s">
        <v>195</v>
      </c>
      <c r="L275" s="261" t="s">
        <v>1182</v>
      </c>
      <c r="M275" s="238" t="s">
        <v>1236</v>
      </c>
      <c r="N275" s="127" t="s">
        <v>138</v>
      </c>
      <c r="O275" s="128" t="s">
        <v>139</v>
      </c>
      <c r="P275" s="126" t="s">
        <v>122</v>
      </c>
      <c r="Q275" s="262">
        <v>16</v>
      </c>
      <c r="R275" s="130" t="s">
        <v>1237</v>
      </c>
      <c r="S275" s="263" t="s">
        <v>125</v>
      </c>
      <c r="T275" s="264">
        <v>40316</v>
      </c>
      <c r="U275" s="133" t="s">
        <v>1238</v>
      </c>
      <c r="V275" s="134" t="s">
        <v>304</v>
      </c>
      <c r="W275" s="130" t="s">
        <v>1239</v>
      </c>
      <c r="X275" s="265">
        <v>5521005</v>
      </c>
      <c r="Y275" s="266">
        <v>5521005</v>
      </c>
      <c r="Z275" s="267">
        <f t="shared" si="29"/>
        <v>1</v>
      </c>
      <c r="AA275" s="127"/>
      <c r="AB275" s="127"/>
      <c r="AC275" s="127">
        <v>1</v>
      </c>
      <c r="AD275" s="127" t="s">
        <v>1152</v>
      </c>
      <c r="AE275" s="138"/>
      <c r="AF275" s="125"/>
      <c r="AG275" s="117" t="s">
        <v>131</v>
      </c>
      <c r="AH275" s="139" t="s">
        <v>171</v>
      </c>
      <c r="AJ275" s="120"/>
      <c r="AK275" s="120" t="s">
        <v>147</v>
      </c>
      <c r="AL275" s="232" t="str">
        <f>VLOOKUP(AK275,'[3]17見直し計画'!$A$50:$AJ$584,6,0)</f>
        <v>　見直し計画策定以降の新規案件</v>
      </c>
      <c r="AM275" s="140">
        <f>VLOOKUP(AK275,'[3]17見直し計画'!$A$50:$AJ$584,8,0)</f>
        <v>0</v>
      </c>
      <c r="AN275" s="180"/>
      <c r="AO275" s="141">
        <f>VLOOKUP(AK275,'[3]17見直し計画'!$A$50:$AJ$584,11,0)</f>
        <v>0</v>
      </c>
      <c r="AP275" s="140">
        <f>VLOOKUP(AK275,'[3]17見直し計画'!$A$50:$AJ$584,12,0)</f>
        <v>0</v>
      </c>
      <c r="AQ275" s="140">
        <f>VLOOKUP(AK275,'[3]17見直し計画'!$A$50:$AJ$584,13,0)</f>
        <v>0</v>
      </c>
      <c r="AR275" s="140">
        <f>VLOOKUP(AK275,'[3]17見直し計画'!$A$50:$AJ$584,14,0)</f>
        <v>0</v>
      </c>
      <c r="AS275" s="140"/>
      <c r="AT275" s="140">
        <f>VLOOKUP(AK275,'[3]17見直し計画'!$A$50:$AJ$584,35,0)</f>
        <v>0</v>
      </c>
      <c r="AU275" s="140">
        <f>VLOOKUP(AK275,'[3]17見直し計画'!$A$50:$AJ$584,36,0)</f>
        <v>0</v>
      </c>
    </row>
    <row r="276" spans="2:47" ht="105" hidden="1" customHeight="1">
      <c r="B276" s="182"/>
      <c r="C276" s="182"/>
      <c r="D276" s="223" t="s">
        <v>421</v>
      </c>
      <c r="E276">
        <f t="shared" si="28"/>
        <v>190</v>
      </c>
      <c r="F276" s="185">
        <v>17</v>
      </c>
      <c r="G276" s="269">
        <v>16</v>
      </c>
      <c r="H276" s="270">
        <v>2200486</v>
      </c>
      <c r="I276" s="188"/>
      <c r="J276" s="188" t="s">
        <v>1240</v>
      </c>
      <c r="K276" s="201" t="s">
        <v>345</v>
      </c>
      <c r="L276" s="271" t="s">
        <v>1182</v>
      </c>
      <c r="M276" s="188" t="s">
        <v>1236</v>
      </c>
      <c r="N276" s="190" t="s">
        <v>230</v>
      </c>
      <c r="O276" s="191" t="s">
        <v>139</v>
      </c>
      <c r="P276" s="189" t="s">
        <v>231</v>
      </c>
      <c r="Q276" s="272">
        <v>17</v>
      </c>
      <c r="R276" s="193" t="s">
        <v>1241</v>
      </c>
      <c r="S276" s="273" t="s">
        <v>125</v>
      </c>
      <c r="T276" s="274">
        <v>40317</v>
      </c>
      <c r="U276" s="278" t="s">
        <v>1242</v>
      </c>
      <c r="V276" s="197" t="s">
        <v>1243</v>
      </c>
      <c r="W276" s="193" t="s">
        <v>1187</v>
      </c>
      <c r="X276" s="275">
        <v>14445000</v>
      </c>
      <c r="Y276" s="276">
        <v>13980000</v>
      </c>
      <c r="Z276" s="277">
        <f t="shared" si="29"/>
        <v>0.96699999999999997</v>
      </c>
      <c r="AA276" s="190"/>
      <c r="AB276" s="190"/>
      <c r="AC276" s="190">
        <v>3</v>
      </c>
      <c r="AD276" s="190" t="s">
        <v>237</v>
      </c>
      <c r="AE276" s="201"/>
      <c r="AF276" s="188"/>
      <c r="AG276" s="202" t="s">
        <v>131</v>
      </c>
      <c r="AH276" s="203" t="s">
        <v>238</v>
      </c>
      <c r="AI276" s="184"/>
      <c r="AJ276" s="182"/>
      <c r="AK276" s="182" t="s">
        <v>147</v>
      </c>
      <c r="AL276" s="231" t="str">
        <f>VLOOKUP(AK276,'[3]17見直し計画'!$A$50:$AJ$584,6,0)</f>
        <v>　見直し計画策定以降の新規案件</v>
      </c>
      <c r="AM276" s="204">
        <f>VLOOKUP(AK276,'[3]17見直し計画'!$A$50:$AJ$584,8,0)</f>
        <v>0</v>
      </c>
      <c r="AN276" s="224"/>
      <c r="AO276" s="205">
        <f>VLOOKUP(AK276,'[3]17見直し計画'!$A$50:$AJ$584,11,0)</f>
        <v>0</v>
      </c>
      <c r="AP276" s="204">
        <f>VLOOKUP(AK276,'[3]17見直し計画'!$A$50:$AJ$584,12,0)</f>
        <v>0</v>
      </c>
      <c r="AQ276" s="204">
        <f>VLOOKUP(AK276,'[3]17見直し計画'!$A$50:$AJ$584,13,0)</f>
        <v>0</v>
      </c>
      <c r="AR276" s="204">
        <f>VLOOKUP(AK276,'[3]17見直し計画'!$A$50:$AJ$584,14,0)</f>
        <v>0</v>
      </c>
      <c r="AS276" s="204"/>
      <c r="AT276" s="204">
        <f>VLOOKUP(AK276,'[3]17見直し計画'!$A$50:$AJ$584,35,0)</f>
        <v>0</v>
      </c>
      <c r="AU276" s="204">
        <f>VLOOKUP(AK276,'[3]17見直し計画'!$A$50:$AJ$584,36,0)</f>
        <v>0</v>
      </c>
    </row>
    <row r="277" spans="2:47" ht="105" hidden="1" customHeight="1">
      <c r="B277" s="182"/>
      <c r="C277" s="182"/>
      <c r="D277" s="223" t="s">
        <v>421</v>
      </c>
      <c r="E277">
        <f t="shared" si="28"/>
        <v>191</v>
      </c>
      <c r="F277" s="185">
        <v>18</v>
      </c>
      <c r="G277" s="269">
        <v>17</v>
      </c>
      <c r="H277" s="270">
        <v>2200488</v>
      </c>
      <c r="I277" s="188"/>
      <c r="J277" s="188" t="s">
        <v>1244</v>
      </c>
      <c r="K277" s="201" t="s">
        <v>1245</v>
      </c>
      <c r="L277" s="271" t="s">
        <v>1182</v>
      </c>
      <c r="M277" s="188" t="s">
        <v>1236</v>
      </c>
      <c r="N277" s="190" t="s">
        <v>277</v>
      </c>
      <c r="O277" s="191" t="s">
        <v>121</v>
      </c>
      <c r="P277" s="189" t="s">
        <v>231</v>
      </c>
      <c r="Q277" s="272">
        <v>18</v>
      </c>
      <c r="R277" s="193" t="s">
        <v>1246</v>
      </c>
      <c r="S277" s="273" t="s">
        <v>125</v>
      </c>
      <c r="T277" s="274">
        <v>40317</v>
      </c>
      <c r="U277" s="278" t="s">
        <v>1247</v>
      </c>
      <c r="V277" s="197" t="s">
        <v>1248</v>
      </c>
      <c r="W277" s="193" t="s">
        <v>1187</v>
      </c>
      <c r="X277" s="275">
        <v>6462000</v>
      </c>
      <c r="Y277" s="276">
        <v>6460031</v>
      </c>
      <c r="Z277" s="277">
        <f t="shared" si="29"/>
        <v>0.999</v>
      </c>
      <c r="AA277" s="190">
        <v>0</v>
      </c>
      <c r="AB277" s="190"/>
      <c r="AC277" s="190">
        <v>2</v>
      </c>
      <c r="AD277" s="190" t="s">
        <v>1249</v>
      </c>
      <c r="AE277" s="201"/>
      <c r="AF277" s="188"/>
      <c r="AG277" s="202" t="s">
        <v>131</v>
      </c>
      <c r="AH277" s="203" t="s">
        <v>428</v>
      </c>
      <c r="AI277" s="184"/>
      <c r="AJ277" s="182"/>
      <c r="AK277" s="182" t="s">
        <v>147</v>
      </c>
      <c r="AL277" s="231" t="str">
        <f>VLOOKUP(AK277,'[3]17見直し計画'!$A$50:$AJ$584,6,0)</f>
        <v>　見直し計画策定以降の新規案件</v>
      </c>
      <c r="AM277" s="204">
        <f>VLOOKUP(AK277,'[3]17見直し計画'!$A$50:$AJ$584,8,0)</f>
        <v>0</v>
      </c>
      <c r="AN277" s="224"/>
      <c r="AO277" s="205">
        <f>VLOOKUP(AK277,'[3]17見直し計画'!$A$50:$AJ$584,11,0)</f>
        <v>0</v>
      </c>
      <c r="AP277" s="204">
        <f>VLOOKUP(AK277,'[3]17見直し計画'!$A$50:$AJ$584,12,0)</f>
        <v>0</v>
      </c>
      <c r="AQ277" s="204">
        <f>VLOOKUP(AK277,'[3]17見直し計画'!$A$50:$AJ$584,13,0)</f>
        <v>0</v>
      </c>
      <c r="AR277" s="204">
        <f>VLOOKUP(AK277,'[3]17見直し計画'!$A$50:$AJ$584,14,0)</f>
        <v>0</v>
      </c>
      <c r="AS277" s="204"/>
      <c r="AT277" s="204">
        <f>VLOOKUP(AK277,'[3]17見直し計画'!$A$50:$AJ$584,35,0)</f>
        <v>0</v>
      </c>
      <c r="AU277" s="204">
        <f>VLOOKUP(AK277,'[3]17見直し計画'!$A$50:$AJ$584,36,0)</f>
        <v>0</v>
      </c>
    </row>
    <row r="278" spans="2:47" ht="105" hidden="1" customHeight="1">
      <c r="B278" s="182"/>
      <c r="C278" s="182"/>
      <c r="D278" s="223" t="s">
        <v>659</v>
      </c>
      <c r="E278">
        <f t="shared" si="28"/>
        <v>192</v>
      </c>
      <c r="F278" s="185">
        <v>19</v>
      </c>
      <c r="G278" s="269">
        <v>19</v>
      </c>
      <c r="H278" s="270">
        <v>2200539</v>
      </c>
      <c r="I278" s="188"/>
      <c r="J278" s="188" t="s">
        <v>1250</v>
      </c>
      <c r="K278" s="201" t="s">
        <v>706</v>
      </c>
      <c r="L278" s="271" t="s">
        <v>1190</v>
      </c>
      <c r="M278" s="188" t="s">
        <v>1223</v>
      </c>
      <c r="N278" s="190" t="s">
        <v>277</v>
      </c>
      <c r="O278" s="191" t="s">
        <v>121</v>
      </c>
      <c r="P278" s="189" t="s">
        <v>231</v>
      </c>
      <c r="Q278" s="272">
        <v>19</v>
      </c>
      <c r="R278" s="193" t="s">
        <v>1251</v>
      </c>
      <c r="S278" s="273" t="s">
        <v>125</v>
      </c>
      <c r="T278" s="274">
        <v>40317</v>
      </c>
      <c r="U278" s="196" t="s">
        <v>1252</v>
      </c>
      <c r="V278" s="197" t="s">
        <v>1253</v>
      </c>
      <c r="W278" s="193" t="s">
        <v>1187</v>
      </c>
      <c r="X278" s="275">
        <v>3397000</v>
      </c>
      <c r="Y278" s="276">
        <v>3397000</v>
      </c>
      <c r="Z278" s="277">
        <f t="shared" si="29"/>
        <v>1</v>
      </c>
      <c r="AA278" s="190">
        <v>2</v>
      </c>
      <c r="AB278" s="190"/>
      <c r="AC278" s="190">
        <v>2</v>
      </c>
      <c r="AD278" s="190" t="s">
        <v>1249</v>
      </c>
      <c r="AE278" s="201"/>
      <c r="AF278" s="188"/>
      <c r="AG278" s="202" t="s">
        <v>131</v>
      </c>
      <c r="AH278" s="203" t="s">
        <v>428</v>
      </c>
      <c r="AI278" s="184"/>
      <c r="AJ278" s="182"/>
      <c r="AK278" s="182" t="s">
        <v>147</v>
      </c>
      <c r="AL278" s="231" t="str">
        <f>VLOOKUP(AK278,'[3]17見直し計画'!$A$50:$AJ$584,6,0)</f>
        <v>　見直し計画策定以降の新規案件</v>
      </c>
      <c r="AM278" s="204">
        <f>VLOOKUP(AK278,'[3]17見直し計画'!$A$50:$AJ$584,8,0)</f>
        <v>0</v>
      </c>
      <c r="AN278" s="224"/>
      <c r="AO278" s="205">
        <f>VLOOKUP(AK278,'[3]17見直し計画'!$A$50:$AJ$584,11,0)</f>
        <v>0</v>
      </c>
      <c r="AP278" s="204">
        <f>VLOOKUP(AK278,'[3]17見直し計画'!$A$50:$AJ$584,12,0)</f>
        <v>0</v>
      </c>
      <c r="AQ278" s="204">
        <f>VLOOKUP(AK278,'[3]17見直し計画'!$A$50:$AJ$584,13,0)</f>
        <v>0</v>
      </c>
      <c r="AR278" s="204">
        <f>VLOOKUP(AK278,'[3]17見直し計画'!$A$50:$AJ$584,14,0)</f>
        <v>0</v>
      </c>
      <c r="AS278" s="204"/>
      <c r="AT278" s="204">
        <f>VLOOKUP(AK278,'[3]17見直し計画'!$A$50:$AJ$584,35,0)</f>
        <v>0</v>
      </c>
      <c r="AU278" s="204">
        <f>VLOOKUP(AK278,'[3]17見直し計画'!$A$50:$AJ$584,36,0)</f>
        <v>0</v>
      </c>
    </row>
    <row r="279" spans="2:47" ht="105" customHeight="1">
      <c r="B279" s="257" t="s">
        <v>1254</v>
      </c>
      <c r="C279" s="258" t="s">
        <v>255</v>
      </c>
      <c r="D279" s="257" t="s">
        <v>351</v>
      </c>
      <c r="E279">
        <f t="shared" si="28"/>
        <v>193</v>
      </c>
      <c r="F279" s="122">
        <v>20</v>
      </c>
      <c r="G279" s="259">
        <v>20</v>
      </c>
      <c r="H279" s="260">
        <v>2200555</v>
      </c>
      <c r="I279" s="238"/>
      <c r="J279" s="238"/>
      <c r="K279" s="239" t="s">
        <v>1255</v>
      </c>
      <c r="L279" s="261" t="s">
        <v>1163</v>
      </c>
      <c r="M279" s="238" t="s">
        <v>1256</v>
      </c>
      <c r="N279" s="127" t="s">
        <v>138</v>
      </c>
      <c r="O279" s="128" t="s">
        <v>139</v>
      </c>
      <c r="P279" s="126" t="s">
        <v>122</v>
      </c>
      <c r="Q279" s="262">
        <v>20</v>
      </c>
      <c r="R279" s="130" t="s">
        <v>1257</v>
      </c>
      <c r="S279" s="263" t="s">
        <v>125</v>
      </c>
      <c r="T279" s="264">
        <v>40317</v>
      </c>
      <c r="U279" s="268" t="s">
        <v>1258</v>
      </c>
      <c r="V279" s="134" t="s">
        <v>1259</v>
      </c>
      <c r="W279" s="130" t="s">
        <v>1260</v>
      </c>
      <c r="X279" s="265">
        <v>1781292</v>
      </c>
      <c r="Y279" s="266">
        <v>1781292</v>
      </c>
      <c r="Z279" s="267">
        <f t="shared" si="29"/>
        <v>1</v>
      </c>
      <c r="AA279" s="127"/>
      <c r="AB279" s="127"/>
      <c r="AC279" s="127">
        <v>1</v>
      </c>
      <c r="AD279" s="127" t="s">
        <v>1152</v>
      </c>
      <c r="AE279" s="138"/>
      <c r="AF279" s="125"/>
      <c r="AG279" s="117" t="s">
        <v>131</v>
      </c>
      <c r="AH279" s="139" t="s">
        <v>171</v>
      </c>
      <c r="AI279" s="177"/>
      <c r="AJ279" s="120"/>
      <c r="AK279" s="120" t="s">
        <v>1261</v>
      </c>
      <c r="AL279" s="232" t="str">
        <f>VLOOKUP(AK279,'[3]17見直し計画'!$A$50:$AJ$584,6,0)</f>
        <v>株式会社ゼコー</v>
      </c>
      <c r="AM279" s="140" t="str">
        <f>VLOOKUP(AK279,'[3]17見直し計画'!$A$50:$AJ$584,8,0)</f>
        <v>外務省新庁舎防犯・入室管理・ＩＴＶ設備の保守契約</v>
      </c>
      <c r="AN279" s="180">
        <f>VLOOKUP(AK279,'[3]17見直し計画'!$A$50:$AJ$584,10,0)</f>
        <v>38443</v>
      </c>
      <c r="AO279" s="141">
        <f>VLOOKUP(AK279,'[3]17見直し計画'!$A$50:$AJ$584,11,0)</f>
        <v>4265580</v>
      </c>
      <c r="AP279" s="140" t="str">
        <f>VLOOKUP(AK279,'[3]17見直し計画'!$A$50:$AJ$584,12,0)</f>
        <v>本設備の設置工事を一括して行った会社が同設備の保守を行うものであり、他に競争を許さない（会計法第２９条の３第４項）。</v>
      </c>
      <c r="AQ279" s="140" t="str">
        <f>VLOOKUP(AK279,'[3]17見直し計画'!$A$50:$AJ$584,13,0)</f>
        <v>見直しの余地があるもの</v>
      </c>
      <c r="AR279" s="140" t="str">
        <f>VLOOKUP(AK279,'[3]17見直し計画'!$A$50:$AJ$584,14,0)</f>
        <v>競争入札への移行を検討(設備の入替時において実施検討）</v>
      </c>
      <c r="AS279" s="140"/>
      <c r="AT279" s="140">
        <f>VLOOKUP(AK279,'[3]17見直し計画'!$A$50:$AJ$584,35,0)</f>
        <v>0</v>
      </c>
      <c r="AU279" s="140">
        <f>VLOOKUP(AK279,'[3]17見直し計画'!$A$50:$AJ$584,36,0)</f>
        <v>0</v>
      </c>
    </row>
    <row r="280" spans="2:47" ht="105" hidden="1" customHeight="1">
      <c r="B280" s="182"/>
      <c r="C280" s="182"/>
      <c r="D280" s="223" t="s">
        <v>421</v>
      </c>
      <c r="E280">
        <f>SUM(E279+1)</f>
        <v>194</v>
      </c>
      <c r="F280" s="185">
        <v>21</v>
      </c>
      <c r="G280" s="269">
        <v>21</v>
      </c>
      <c r="H280" s="270">
        <v>2200487</v>
      </c>
      <c r="I280" s="188"/>
      <c r="J280" s="188" t="s">
        <v>1262</v>
      </c>
      <c r="K280" s="201" t="s">
        <v>258</v>
      </c>
      <c r="L280" s="271" t="s">
        <v>1163</v>
      </c>
      <c r="M280" s="188" t="s">
        <v>1263</v>
      </c>
      <c r="N280" s="190" t="s">
        <v>230</v>
      </c>
      <c r="O280" s="191" t="s">
        <v>139</v>
      </c>
      <c r="P280" s="189" t="s">
        <v>231</v>
      </c>
      <c r="Q280" s="272">
        <v>21</v>
      </c>
      <c r="R280" s="193" t="s">
        <v>1264</v>
      </c>
      <c r="S280" s="273" t="s">
        <v>125</v>
      </c>
      <c r="T280" s="274">
        <v>40317</v>
      </c>
      <c r="U280" s="196" t="s">
        <v>1265</v>
      </c>
      <c r="V280" s="197" t="s">
        <v>1266</v>
      </c>
      <c r="W280" s="193" t="s">
        <v>1187</v>
      </c>
      <c r="X280" s="275" t="s">
        <v>129</v>
      </c>
      <c r="Y280" s="281">
        <v>1827000</v>
      </c>
      <c r="Z280" s="277" t="e">
        <f t="shared" si="29"/>
        <v>#VALUE!</v>
      </c>
      <c r="AA280" s="190"/>
      <c r="AB280" s="190" t="s">
        <v>986</v>
      </c>
      <c r="AC280" s="190">
        <v>3</v>
      </c>
      <c r="AD280" s="190" t="s">
        <v>237</v>
      </c>
      <c r="AE280" s="201"/>
      <c r="AF280" s="188"/>
      <c r="AG280" s="202" t="s">
        <v>131</v>
      </c>
      <c r="AH280" s="203" t="s">
        <v>238</v>
      </c>
      <c r="AI280" s="184"/>
      <c r="AJ280" s="182"/>
      <c r="AK280" s="182" t="s">
        <v>147</v>
      </c>
      <c r="AL280" s="231" t="str">
        <f>VLOOKUP(AK280,'[3]17見直し計画'!$A$50:$AJ$584,6,0)</f>
        <v>　見直し計画策定以降の新規案件</v>
      </c>
      <c r="AM280" s="204">
        <f>VLOOKUP(AK280,'[3]17見直し計画'!$A$50:$AJ$584,8,0)</f>
        <v>0</v>
      </c>
      <c r="AN280" s="224"/>
      <c r="AO280" s="205">
        <f>VLOOKUP(AK280,'[3]17見直し計画'!$A$50:$AJ$584,11,0)</f>
        <v>0</v>
      </c>
      <c r="AP280" s="204">
        <f>VLOOKUP(AK280,'[3]17見直し計画'!$A$50:$AJ$584,12,0)</f>
        <v>0</v>
      </c>
      <c r="AQ280" s="204">
        <f>VLOOKUP(AK280,'[3]17見直し計画'!$A$50:$AJ$584,13,0)</f>
        <v>0</v>
      </c>
      <c r="AR280" s="204">
        <f>VLOOKUP(AK280,'[3]17見直し計画'!$A$50:$AJ$584,14,0)</f>
        <v>0</v>
      </c>
      <c r="AS280" s="204"/>
      <c r="AT280" s="204">
        <f>VLOOKUP(AK280,'[3]17見直し計画'!$A$50:$AJ$584,35,0)</f>
        <v>0</v>
      </c>
      <c r="AU280" s="204">
        <f>VLOOKUP(AK280,'[3]17見直し計画'!$A$50:$AJ$584,36,0)</f>
        <v>0</v>
      </c>
    </row>
    <row r="281" spans="2:47" ht="105" customHeight="1">
      <c r="B281" s="126" t="s">
        <v>1267</v>
      </c>
      <c r="C281" s="120" t="s">
        <v>350</v>
      </c>
      <c r="D281" s="143" t="s">
        <v>477</v>
      </c>
      <c r="E281">
        <f t="shared" si="28"/>
        <v>195</v>
      </c>
      <c r="F281" s="122">
        <v>22</v>
      </c>
      <c r="G281" s="259">
        <v>22</v>
      </c>
      <c r="H281" s="260">
        <v>2200469</v>
      </c>
      <c r="I281" s="238"/>
      <c r="J281" s="238" t="s">
        <v>1268</v>
      </c>
      <c r="K281" s="239" t="s">
        <v>1269</v>
      </c>
      <c r="L281" s="261" t="s">
        <v>1163</v>
      </c>
      <c r="M281" s="238" t="s">
        <v>1164</v>
      </c>
      <c r="N281" s="127" t="s">
        <v>120</v>
      </c>
      <c r="O281" s="128" t="s">
        <v>121</v>
      </c>
      <c r="P281" s="126" t="s">
        <v>122</v>
      </c>
      <c r="Q281" s="262">
        <v>22</v>
      </c>
      <c r="R281" s="130" t="s">
        <v>1270</v>
      </c>
      <c r="S281" s="263" t="s">
        <v>125</v>
      </c>
      <c r="T281" s="264">
        <v>40318</v>
      </c>
      <c r="U281" s="133" t="s">
        <v>1271</v>
      </c>
      <c r="V281" s="134" t="s">
        <v>167</v>
      </c>
      <c r="W281" s="130" t="s">
        <v>1272</v>
      </c>
      <c r="X281" s="265">
        <v>34599971</v>
      </c>
      <c r="Y281" s="266">
        <v>34599971</v>
      </c>
      <c r="Z281" s="267">
        <f t="shared" si="29"/>
        <v>1</v>
      </c>
      <c r="AA281" s="127">
        <v>2</v>
      </c>
      <c r="AB281" s="127"/>
      <c r="AC281" s="127">
        <v>1</v>
      </c>
      <c r="AD281" s="127" t="s">
        <v>1273</v>
      </c>
      <c r="AE281" s="138"/>
      <c r="AF281" s="125"/>
      <c r="AG281" s="117" t="s">
        <v>131</v>
      </c>
      <c r="AH281" s="139" t="s">
        <v>171</v>
      </c>
      <c r="AJ281" s="120"/>
      <c r="AK281" s="120" t="s">
        <v>147</v>
      </c>
      <c r="AL281" s="232" t="str">
        <f>VLOOKUP(AK281,'[3]17見直し計画'!$A$50:$AJ$584,6,0)</f>
        <v>　見直し計画策定以降の新規案件</v>
      </c>
      <c r="AM281" s="140">
        <f>VLOOKUP(AK281,'[3]17見直し計画'!$A$50:$AJ$584,8,0)</f>
        <v>0</v>
      </c>
      <c r="AN281" s="180"/>
      <c r="AO281" s="141">
        <f>VLOOKUP(AK281,'[3]17見直し計画'!$A$50:$AJ$584,11,0)</f>
        <v>0</v>
      </c>
      <c r="AP281" s="140">
        <f>VLOOKUP(AK281,'[3]17見直し計画'!$A$50:$AJ$584,12,0)</f>
        <v>0</v>
      </c>
      <c r="AQ281" s="140">
        <f>VLOOKUP(AK281,'[3]17見直し計画'!$A$50:$AJ$584,13,0)</f>
        <v>0</v>
      </c>
      <c r="AR281" s="140">
        <f>VLOOKUP(AK281,'[3]17見直し計画'!$A$50:$AJ$584,14,0)</f>
        <v>0</v>
      </c>
      <c r="AS281" s="140"/>
      <c r="AT281" s="140">
        <f>VLOOKUP(AK281,'[3]17見直し計画'!$A$50:$AJ$584,35,0)</f>
        <v>0</v>
      </c>
      <c r="AU281" s="140">
        <f>VLOOKUP(AK281,'[3]17見直し計画'!$A$50:$AJ$584,36,0)</f>
        <v>0</v>
      </c>
    </row>
    <row r="282" spans="2:47" ht="105" hidden="1" customHeight="1">
      <c r="B282" s="152"/>
      <c r="C282" s="152"/>
      <c r="D282" s="234" t="s">
        <v>118</v>
      </c>
      <c r="E282">
        <f>SUM(E281+1)</f>
        <v>196</v>
      </c>
      <c r="F282" s="155">
        <v>23</v>
      </c>
      <c r="G282" s="282">
        <v>23</v>
      </c>
      <c r="H282" s="283">
        <v>2200540</v>
      </c>
      <c r="I282" s="158"/>
      <c r="J282" s="158" t="s">
        <v>1274</v>
      </c>
      <c r="K282" s="171" t="s">
        <v>661</v>
      </c>
      <c r="L282" s="284" t="s">
        <v>1190</v>
      </c>
      <c r="M282" s="158" t="s">
        <v>1223</v>
      </c>
      <c r="N282" s="160" t="s">
        <v>162</v>
      </c>
      <c r="O282" s="161" t="s">
        <v>121</v>
      </c>
      <c r="P282" s="159" t="s">
        <v>163</v>
      </c>
      <c r="Q282" s="285">
        <v>23</v>
      </c>
      <c r="R282" s="163" t="s">
        <v>1275</v>
      </c>
      <c r="S282" s="286" t="s">
        <v>125</v>
      </c>
      <c r="T282" s="287">
        <v>40318</v>
      </c>
      <c r="U282" s="166" t="s">
        <v>1276</v>
      </c>
      <c r="V282" s="167" t="s">
        <v>1094</v>
      </c>
      <c r="W282" s="163" t="s">
        <v>1277</v>
      </c>
      <c r="X282" s="288">
        <v>24981348</v>
      </c>
      <c r="Y282" s="289">
        <v>24981348</v>
      </c>
      <c r="Z282" s="290">
        <f t="shared" si="29"/>
        <v>1</v>
      </c>
      <c r="AA282" s="160">
        <v>0</v>
      </c>
      <c r="AB282" s="160" t="s">
        <v>169</v>
      </c>
      <c r="AC282" s="160">
        <v>1</v>
      </c>
      <c r="AD282" s="160" t="s">
        <v>170</v>
      </c>
      <c r="AE282" s="171"/>
      <c r="AF282" s="158"/>
      <c r="AG282" s="172" t="s">
        <v>131</v>
      </c>
      <c r="AH282" s="173" t="s">
        <v>171</v>
      </c>
      <c r="AI282" s="154"/>
      <c r="AJ282" s="152"/>
      <c r="AK282" s="152" t="s">
        <v>1278</v>
      </c>
      <c r="AL282" s="233" t="str">
        <f>VLOOKUP(AK282,'[3]17見直し計画'!$A$50:$AJ$584,6,0)</f>
        <v>北方四島交流北海道推進委員会</v>
      </c>
      <c r="AM282" s="174" t="str">
        <f>VLOOKUP(AK282,'[3]17見直し計画'!$A$50:$AJ$584,8,0)</f>
        <v>「北方四島住民招へい事業」委嘱</v>
      </c>
      <c r="AN282" s="225">
        <f>VLOOKUP(AK282,'[3]17見直し計画'!$A$50:$AJ$584,10,0)</f>
        <v>38553</v>
      </c>
      <c r="AO282" s="175">
        <f>VLOOKUP(AK282,'[3]17見直し計画'!$A$50:$AJ$584,11,0)</f>
        <v>8711881</v>
      </c>
      <c r="AP282" s="174" t="str">
        <f>VLOOKUP(AK282,'[3]17見直し計画'!$A$50:$AJ$584,12,0)</f>
        <v>契約相手先は北海道内における四島交流事業を実施するため、北海道庁を始め地元根室管内の自治体、北方領土返還運動団体が構成団体となり設立した団体である。四島在住ロシア人を招聘する北海道受け入れ事業が円滑に行われるためには北海道全体として同事業に取り組む事が必要であるが、かかる事業が実施可能な団体は他に存在しない。従って本事業は当該団体と協力して実施することが政策上不可欠である（会計法第２９条の３第４項）。</v>
      </c>
      <c r="AQ282" s="174" t="str">
        <f>VLOOKUP(AK282,'[3]17見直し計画'!$A$50:$AJ$584,13,0)</f>
        <v>その他のもの</v>
      </c>
      <c r="AR282" s="174" t="str">
        <f>VLOOKUP(AK282,'[3]17見直し計画'!$A$50:$AJ$584,14,0)</f>
        <v>随意契約によらざるを得ないもの</v>
      </c>
      <c r="AS282" s="174"/>
      <c r="AT282" s="174">
        <f>VLOOKUP(AK282,'[3]17見直し計画'!$A$50:$AJ$584,35,0)</f>
        <v>0</v>
      </c>
      <c r="AU282" s="174">
        <f>VLOOKUP(AK282,'[3]17見直し計画'!$A$50:$AJ$584,36,0)</f>
        <v>0</v>
      </c>
    </row>
    <row r="283" spans="2:47" ht="105" hidden="1" customHeight="1">
      <c r="B283" s="182"/>
      <c r="C283" s="182"/>
      <c r="D283" s="223" t="s">
        <v>421</v>
      </c>
      <c r="E283">
        <f t="shared" si="28"/>
        <v>197</v>
      </c>
      <c r="F283" s="185">
        <v>24</v>
      </c>
      <c r="G283" s="269">
        <v>24</v>
      </c>
      <c r="H283" s="270">
        <v>2200512</v>
      </c>
      <c r="I283" s="188"/>
      <c r="J283" s="188" t="s">
        <v>1279</v>
      </c>
      <c r="K283" s="201" t="s">
        <v>258</v>
      </c>
      <c r="L283" s="271" t="s">
        <v>1163</v>
      </c>
      <c r="M283" s="188" t="s">
        <v>1210</v>
      </c>
      <c r="N283" s="190" t="s">
        <v>230</v>
      </c>
      <c r="O283" s="191" t="s">
        <v>139</v>
      </c>
      <c r="P283" s="189" t="s">
        <v>231</v>
      </c>
      <c r="Q283" s="272">
        <v>24</v>
      </c>
      <c r="R283" s="193" t="s">
        <v>1280</v>
      </c>
      <c r="S283" s="273" t="s">
        <v>125</v>
      </c>
      <c r="T283" s="274">
        <v>40318</v>
      </c>
      <c r="U283" s="278" t="s">
        <v>1281</v>
      </c>
      <c r="V283" s="197" t="s">
        <v>1282</v>
      </c>
      <c r="W283" s="193" t="s">
        <v>282</v>
      </c>
      <c r="X283" s="275">
        <v>18564000</v>
      </c>
      <c r="Y283" s="276">
        <v>18175500</v>
      </c>
      <c r="Z283" s="277">
        <f t="shared" si="29"/>
        <v>0.97899999999999998</v>
      </c>
      <c r="AA283" s="190"/>
      <c r="AB283" s="190"/>
      <c r="AC283" s="190">
        <v>1</v>
      </c>
      <c r="AD283" s="190" t="s">
        <v>631</v>
      </c>
      <c r="AE283" s="201"/>
      <c r="AF283" s="188"/>
      <c r="AG283" s="202" t="s">
        <v>131</v>
      </c>
      <c r="AH283" s="203" t="s">
        <v>171</v>
      </c>
      <c r="AI283" s="184"/>
      <c r="AJ283" s="182"/>
      <c r="AK283" s="182" t="s">
        <v>147</v>
      </c>
      <c r="AL283" s="231" t="str">
        <f>VLOOKUP(AK283,'[3]17見直し計画'!$A$50:$AJ$584,6,0)</f>
        <v>　見直し計画策定以降の新規案件</v>
      </c>
      <c r="AM283" s="204">
        <f>VLOOKUP(AK283,'[3]17見直し計画'!$A$50:$AJ$584,8,0)</f>
        <v>0</v>
      </c>
      <c r="AN283" s="224"/>
      <c r="AO283" s="205">
        <f>VLOOKUP(AK283,'[3]17見直し計画'!$A$50:$AJ$584,11,0)</f>
        <v>0</v>
      </c>
      <c r="AP283" s="204">
        <f>VLOOKUP(AK283,'[3]17見直し計画'!$A$50:$AJ$584,12,0)</f>
        <v>0</v>
      </c>
      <c r="AQ283" s="204">
        <f>VLOOKUP(AK283,'[3]17見直し計画'!$A$50:$AJ$584,13,0)</f>
        <v>0</v>
      </c>
      <c r="AR283" s="204">
        <f>VLOOKUP(AK283,'[3]17見直し計画'!$A$50:$AJ$584,14,0)</f>
        <v>0</v>
      </c>
      <c r="AS283" s="204"/>
      <c r="AT283" s="204">
        <f>VLOOKUP(AK283,'[3]17見直し計画'!$A$50:$AJ$584,35,0)</f>
        <v>0</v>
      </c>
      <c r="AU283" s="204">
        <f>VLOOKUP(AK283,'[3]17見直し計画'!$A$50:$AJ$584,36,0)</f>
        <v>0</v>
      </c>
    </row>
    <row r="284" spans="2:47" ht="105" hidden="1" customHeight="1">
      <c r="B284" s="182"/>
      <c r="C284" s="182"/>
      <c r="D284" s="223" t="s">
        <v>752</v>
      </c>
      <c r="E284">
        <f t="shared" si="28"/>
        <v>198</v>
      </c>
      <c r="F284" s="185">
        <v>25</v>
      </c>
      <c r="G284" s="269">
        <v>25</v>
      </c>
      <c r="H284" s="270">
        <v>2200563</v>
      </c>
      <c r="I284" s="188"/>
      <c r="J284" s="188" t="s">
        <v>1283</v>
      </c>
      <c r="K284" s="201" t="s">
        <v>1085</v>
      </c>
      <c r="L284" s="271" t="s">
        <v>1163</v>
      </c>
      <c r="M284" s="188" t="s">
        <v>1284</v>
      </c>
      <c r="N284" s="190" t="s">
        <v>230</v>
      </c>
      <c r="O284" s="191" t="s">
        <v>139</v>
      </c>
      <c r="P284" s="189" t="s">
        <v>231</v>
      </c>
      <c r="Q284" s="272">
        <v>25</v>
      </c>
      <c r="R284" s="193" t="s">
        <v>1285</v>
      </c>
      <c r="S284" s="273" t="s">
        <v>125</v>
      </c>
      <c r="T284" s="274">
        <v>40318</v>
      </c>
      <c r="U284" s="196" t="s">
        <v>1286</v>
      </c>
      <c r="V284" s="197" t="s">
        <v>1287</v>
      </c>
      <c r="W284" s="193" t="s">
        <v>282</v>
      </c>
      <c r="X284" s="275">
        <v>3300000</v>
      </c>
      <c r="Y284" s="276">
        <v>3182215</v>
      </c>
      <c r="Z284" s="277">
        <f t="shared" si="29"/>
        <v>0.96399999999999997</v>
      </c>
      <c r="AA284" s="190"/>
      <c r="AB284" s="190"/>
      <c r="AC284" s="190">
        <v>1</v>
      </c>
      <c r="AD284" s="190" t="s">
        <v>631</v>
      </c>
      <c r="AE284" s="201"/>
      <c r="AF284" s="188"/>
      <c r="AG284" s="202" t="s">
        <v>131</v>
      </c>
      <c r="AH284" s="203" t="s">
        <v>171</v>
      </c>
      <c r="AI284" s="184"/>
      <c r="AJ284" s="182"/>
      <c r="AK284" s="182" t="s">
        <v>1288</v>
      </c>
      <c r="AL284" s="231" t="str">
        <f>VLOOKUP(AK284,'[3]17見直し計画'!$A$50:$AJ$584,6,0)</f>
        <v>えひめグローバルネットワーク</v>
      </c>
      <c r="AM284" s="204" t="str">
        <f>VLOOKUP(AK284,'[3]17見直し計画'!$A$50:$AJ$584,8,0)</f>
        <v>「ＮＧＯ相談員制度」業務委嘱</v>
      </c>
      <c r="AN284" s="224">
        <f>VLOOKUP(AK284,'[3]17見直し計画'!$A$50:$AJ$584,10,0)</f>
        <v>38518</v>
      </c>
      <c r="AO284" s="205">
        <f>VLOOKUP(AK284,'[3]17見直し計画'!$A$50:$AJ$584,11,0)</f>
        <v>2230800</v>
      </c>
      <c r="AP284" s="204" t="str">
        <f>VLOOKUP(AK284,'[3]17見直し計画'!$A$50:$AJ$584,12,0)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84" s="204" t="str">
        <f>VLOOKUP(AK284,'[3]17見直し計画'!$A$50:$AJ$584,13,0)</f>
        <v>見直しの余地があるもの</v>
      </c>
      <c r="AR284" s="204" t="str">
        <f>VLOOKUP(AK284,'[3]17見直し計画'!$A$50:$AJ$584,14,0)</f>
        <v>企画招請を実施（１８年度以降も引き続き実施）</v>
      </c>
      <c r="AS284" s="204"/>
      <c r="AT284" s="204">
        <f>VLOOKUP(AK284,'[3]17見直し計画'!$A$50:$AJ$584,35,0)</f>
        <v>0</v>
      </c>
      <c r="AU284" s="204">
        <f>VLOOKUP(AK284,'[3]17見直し計画'!$A$50:$AJ$584,36,0)</f>
        <v>0</v>
      </c>
    </row>
    <row r="285" spans="2:47" ht="105" hidden="1" customHeight="1">
      <c r="B285" s="182"/>
      <c r="C285" s="182"/>
      <c r="D285" s="223" t="s">
        <v>752</v>
      </c>
      <c r="E285">
        <f t="shared" si="28"/>
        <v>199</v>
      </c>
      <c r="F285" s="185">
        <v>26</v>
      </c>
      <c r="G285" s="269">
        <v>26</v>
      </c>
      <c r="H285" s="270">
        <v>2200563</v>
      </c>
      <c r="I285" s="188"/>
      <c r="J285" s="188" t="s">
        <v>1283</v>
      </c>
      <c r="K285" s="201" t="s">
        <v>1085</v>
      </c>
      <c r="L285" s="271" t="s">
        <v>1163</v>
      </c>
      <c r="M285" s="188" t="s">
        <v>1284</v>
      </c>
      <c r="N285" s="190" t="s">
        <v>230</v>
      </c>
      <c r="O285" s="191" t="s">
        <v>139</v>
      </c>
      <c r="P285" s="189" t="s">
        <v>231</v>
      </c>
      <c r="Q285" s="272">
        <v>26</v>
      </c>
      <c r="R285" s="193" t="s">
        <v>1289</v>
      </c>
      <c r="S285" s="273" t="s">
        <v>125</v>
      </c>
      <c r="T285" s="274">
        <v>40318</v>
      </c>
      <c r="U285" s="196" t="s">
        <v>1290</v>
      </c>
      <c r="V285" s="197" t="s">
        <v>1291</v>
      </c>
      <c r="W285" s="193" t="s">
        <v>282</v>
      </c>
      <c r="X285" s="275">
        <v>3300000</v>
      </c>
      <c r="Y285" s="276">
        <v>3180000</v>
      </c>
      <c r="Z285" s="277">
        <f t="shared" si="29"/>
        <v>0.96299999999999997</v>
      </c>
      <c r="AA285" s="190"/>
      <c r="AB285" s="190"/>
      <c r="AC285" s="190">
        <v>4</v>
      </c>
      <c r="AD285" s="190" t="s">
        <v>237</v>
      </c>
      <c r="AE285" s="201"/>
      <c r="AF285" s="188"/>
      <c r="AG285" s="202" t="s">
        <v>131</v>
      </c>
      <c r="AH285" s="203" t="s">
        <v>238</v>
      </c>
      <c r="AI285" s="184"/>
      <c r="AJ285" s="182"/>
      <c r="AK285" s="182" t="s">
        <v>1292</v>
      </c>
      <c r="AL285" s="231" t="str">
        <f>VLOOKUP(AK285,'[3]17見直し計画'!$A$50:$AJ$584,6,0)</f>
        <v>財団法人ＰＨＤ協会</v>
      </c>
      <c r="AM285" s="204" t="str">
        <f>VLOOKUP(AK285,'[3]17見直し計画'!$A$50:$AJ$584,8,0)</f>
        <v>「ＮＧＯ相談員制度」業務委嘱</v>
      </c>
      <c r="AN285" s="224">
        <f>VLOOKUP(AK285,'[3]17見直し計画'!$A$50:$AJ$584,10,0)</f>
        <v>38518</v>
      </c>
      <c r="AO285" s="205">
        <f>VLOOKUP(AK285,'[3]17見直し計画'!$A$50:$AJ$584,11,0)</f>
        <v>2230800</v>
      </c>
      <c r="AP285" s="204" t="str">
        <f>VLOOKUP(AK285,'[3]17見直し計画'!$A$50:$AJ$584,12,0)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85" s="204" t="str">
        <f>VLOOKUP(AK285,'[3]17見直し計画'!$A$50:$AJ$584,13,0)</f>
        <v>見直しの余地があるもの</v>
      </c>
      <c r="AR285" s="204" t="str">
        <f>VLOOKUP(AK285,'[3]17見直し計画'!$A$50:$AJ$584,14,0)</f>
        <v>企画招請を実施（１８年度以降も引き続き実施）</v>
      </c>
      <c r="AS285" s="204"/>
      <c r="AT285" s="204">
        <f>VLOOKUP(AK285,'[3]17見直し計画'!$A$50:$AJ$584,35,0)</f>
        <v>0</v>
      </c>
      <c r="AU285" s="204">
        <f>VLOOKUP(AK285,'[3]17見直し計画'!$A$50:$AJ$584,36,0)</f>
        <v>0</v>
      </c>
    </row>
    <row r="286" spans="2:47" ht="105" hidden="1" customHeight="1">
      <c r="B286" s="182"/>
      <c r="C286" s="182"/>
      <c r="D286" s="223" t="s">
        <v>752</v>
      </c>
      <c r="E286">
        <f t="shared" si="28"/>
        <v>200</v>
      </c>
      <c r="F286" s="185">
        <v>27</v>
      </c>
      <c r="G286" s="269">
        <v>27</v>
      </c>
      <c r="H286" s="270">
        <v>2200563</v>
      </c>
      <c r="I286" s="188"/>
      <c r="J286" s="188" t="s">
        <v>1283</v>
      </c>
      <c r="K286" s="201" t="s">
        <v>1085</v>
      </c>
      <c r="L286" s="271" t="s">
        <v>1163</v>
      </c>
      <c r="M286" s="188" t="s">
        <v>1284</v>
      </c>
      <c r="N286" s="190" t="s">
        <v>230</v>
      </c>
      <c r="O286" s="191" t="s">
        <v>139</v>
      </c>
      <c r="P286" s="189" t="s">
        <v>231</v>
      </c>
      <c r="Q286" s="272">
        <v>27</v>
      </c>
      <c r="R286" s="193" t="s">
        <v>1289</v>
      </c>
      <c r="S286" s="273" t="s">
        <v>125</v>
      </c>
      <c r="T286" s="274">
        <v>40318</v>
      </c>
      <c r="U286" s="196" t="s">
        <v>1293</v>
      </c>
      <c r="V286" s="197" t="s">
        <v>1294</v>
      </c>
      <c r="W286" s="193" t="s">
        <v>282</v>
      </c>
      <c r="X286" s="275">
        <v>3300000</v>
      </c>
      <c r="Y286" s="276">
        <v>3120980</v>
      </c>
      <c r="Z286" s="277">
        <f t="shared" si="29"/>
        <v>0.94499999999999995</v>
      </c>
      <c r="AA286" s="190"/>
      <c r="AB286" s="190"/>
      <c r="AC286" s="190">
        <v>4</v>
      </c>
      <c r="AD286" s="190" t="s">
        <v>237</v>
      </c>
      <c r="AE286" s="201"/>
      <c r="AF286" s="188"/>
      <c r="AG286" s="202" t="s">
        <v>131</v>
      </c>
      <c r="AH286" s="203" t="s">
        <v>238</v>
      </c>
      <c r="AI286" s="184"/>
      <c r="AJ286" s="182"/>
      <c r="AK286" s="182" t="s">
        <v>1292</v>
      </c>
      <c r="AL286" s="231" t="str">
        <f>VLOOKUP(AK286,'[3]17見直し計画'!$A$50:$AJ$584,6,0)</f>
        <v>財団法人ＰＨＤ協会</v>
      </c>
      <c r="AM286" s="204" t="str">
        <f>VLOOKUP(AK286,'[3]17見直し計画'!$A$50:$AJ$584,8,0)</f>
        <v>「ＮＧＯ相談員制度」業務委嘱</v>
      </c>
      <c r="AN286" s="224">
        <f>VLOOKUP(AK286,'[3]17見直し計画'!$A$50:$AJ$584,10,0)</f>
        <v>38518</v>
      </c>
      <c r="AO286" s="205">
        <f>VLOOKUP(AK286,'[3]17見直し計画'!$A$50:$AJ$584,11,0)</f>
        <v>2230800</v>
      </c>
      <c r="AP286" s="204" t="str">
        <f>VLOOKUP(AK286,'[3]17見直し計画'!$A$50:$AJ$584,12,0)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86" s="204" t="str">
        <f>VLOOKUP(AK286,'[3]17見直し計画'!$A$50:$AJ$584,13,0)</f>
        <v>見直しの余地があるもの</v>
      </c>
      <c r="AR286" s="204" t="str">
        <f>VLOOKUP(AK286,'[3]17見直し計画'!$A$50:$AJ$584,14,0)</f>
        <v>企画招請を実施（１８年度以降も引き続き実施）</v>
      </c>
      <c r="AS286" s="204"/>
      <c r="AT286" s="204">
        <f>VLOOKUP(AK286,'[3]17見直し計画'!$A$50:$AJ$584,35,0)</f>
        <v>0</v>
      </c>
      <c r="AU286" s="204">
        <f>VLOOKUP(AK286,'[3]17見直し計画'!$A$50:$AJ$584,36,0)</f>
        <v>0</v>
      </c>
    </row>
    <row r="287" spans="2:47" ht="105" hidden="1" customHeight="1">
      <c r="B287" s="182"/>
      <c r="C287" s="182"/>
      <c r="D287" s="223" t="s">
        <v>752</v>
      </c>
      <c r="E287">
        <f t="shared" si="28"/>
        <v>201</v>
      </c>
      <c r="F287" s="185">
        <v>28</v>
      </c>
      <c r="G287" s="269">
        <v>28</v>
      </c>
      <c r="H287" s="270">
        <v>2200563</v>
      </c>
      <c r="I287" s="188"/>
      <c r="J287" s="188" t="s">
        <v>1283</v>
      </c>
      <c r="K287" s="201" t="s">
        <v>1085</v>
      </c>
      <c r="L287" s="271" t="s">
        <v>1163</v>
      </c>
      <c r="M287" s="188" t="s">
        <v>1284</v>
      </c>
      <c r="N287" s="190" t="s">
        <v>230</v>
      </c>
      <c r="O287" s="191" t="s">
        <v>139</v>
      </c>
      <c r="P287" s="189" t="s">
        <v>231</v>
      </c>
      <c r="Q287" s="272">
        <v>28</v>
      </c>
      <c r="R287" s="193" t="s">
        <v>1295</v>
      </c>
      <c r="S287" s="273" t="s">
        <v>125</v>
      </c>
      <c r="T287" s="274">
        <v>40318</v>
      </c>
      <c r="U287" s="196" t="s">
        <v>1296</v>
      </c>
      <c r="V287" s="197" t="s">
        <v>1297</v>
      </c>
      <c r="W287" s="193" t="s">
        <v>282</v>
      </c>
      <c r="X287" s="275">
        <v>3300000</v>
      </c>
      <c r="Y287" s="276">
        <v>3120449</v>
      </c>
      <c r="Z287" s="277">
        <f t="shared" si="29"/>
        <v>0.94499999999999995</v>
      </c>
      <c r="AA287" s="190"/>
      <c r="AB287" s="190"/>
      <c r="AC287" s="190">
        <v>2</v>
      </c>
      <c r="AD287" s="190" t="s">
        <v>427</v>
      </c>
      <c r="AE287" s="201"/>
      <c r="AF287" s="188"/>
      <c r="AG287" s="202" t="s">
        <v>131</v>
      </c>
      <c r="AH287" s="203" t="s">
        <v>428</v>
      </c>
      <c r="AI287" s="184"/>
      <c r="AJ287" s="182"/>
      <c r="AK287" s="182" t="s">
        <v>1298</v>
      </c>
      <c r="AL287" s="231" t="str">
        <f>VLOOKUP(AK287,'[3]17見直し計画'!$A$50:$AJ$584,6,0)</f>
        <v>特定非営利活動法人名古屋ＮＧＯセンター</v>
      </c>
      <c r="AM287" s="204" t="str">
        <f>VLOOKUP(AK287,'[3]17見直し計画'!$A$50:$AJ$584,8,0)</f>
        <v>「ＮＧＯ相談員制度」業務委嘱</v>
      </c>
      <c r="AN287" s="224">
        <f>VLOOKUP(AK287,'[3]17見直し計画'!$A$50:$AJ$584,10,0)</f>
        <v>38518</v>
      </c>
      <c r="AO287" s="205">
        <f>VLOOKUP(AK287,'[3]17見直し計画'!$A$50:$AJ$584,11,0)</f>
        <v>2230800</v>
      </c>
      <c r="AP287" s="204" t="str">
        <f>VLOOKUP(AK287,'[3]17見直し計画'!$A$50:$AJ$584,12,0)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87" s="204" t="str">
        <f>VLOOKUP(AK287,'[3]17見直し計画'!$A$50:$AJ$584,13,0)</f>
        <v>見直しの余地があるもの</v>
      </c>
      <c r="AR287" s="204" t="str">
        <f>VLOOKUP(AK287,'[3]17見直し計画'!$A$50:$AJ$584,14,0)</f>
        <v>企画招請を実施（１８年度以降も引き続き実施）</v>
      </c>
      <c r="AS287" s="204"/>
      <c r="AT287" s="204">
        <f>VLOOKUP(AK287,'[3]17見直し計画'!$A$50:$AJ$584,35,0)</f>
        <v>0</v>
      </c>
      <c r="AU287" s="204">
        <f>VLOOKUP(AK287,'[3]17見直し計画'!$A$50:$AJ$584,36,0)</f>
        <v>0</v>
      </c>
    </row>
    <row r="288" spans="2:47" ht="105" hidden="1" customHeight="1">
      <c r="B288" s="182"/>
      <c r="C288" s="182"/>
      <c r="D288" s="223" t="s">
        <v>752</v>
      </c>
      <c r="E288">
        <f t="shared" si="28"/>
        <v>202</v>
      </c>
      <c r="F288" s="185">
        <v>29</v>
      </c>
      <c r="G288" s="269">
        <v>29</v>
      </c>
      <c r="H288" s="270">
        <v>2200563</v>
      </c>
      <c r="I288" s="188"/>
      <c r="J288" s="188" t="s">
        <v>1283</v>
      </c>
      <c r="K288" s="201" t="s">
        <v>1085</v>
      </c>
      <c r="L288" s="271" t="s">
        <v>1163</v>
      </c>
      <c r="M288" s="188" t="s">
        <v>1284</v>
      </c>
      <c r="N288" s="190" t="s">
        <v>230</v>
      </c>
      <c r="O288" s="191" t="s">
        <v>139</v>
      </c>
      <c r="P288" s="189" t="s">
        <v>231</v>
      </c>
      <c r="Q288" s="272">
        <v>29</v>
      </c>
      <c r="R288" s="193" t="s">
        <v>1299</v>
      </c>
      <c r="S288" s="273" t="s">
        <v>125</v>
      </c>
      <c r="T288" s="274">
        <v>40318</v>
      </c>
      <c r="U288" s="196" t="s">
        <v>1300</v>
      </c>
      <c r="V288" s="197" t="s">
        <v>1301</v>
      </c>
      <c r="W288" s="193" t="s">
        <v>282</v>
      </c>
      <c r="X288" s="275">
        <v>3300000</v>
      </c>
      <c r="Y288" s="276">
        <v>3119844</v>
      </c>
      <c r="Z288" s="277">
        <f t="shared" si="29"/>
        <v>0.94499999999999995</v>
      </c>
      <c r="AA288" s="190"/>
      <c r="AB288" s="190"/>
      <c r="AC288" s="190">
        <v>2</v>
      </c>
      <c r="AD288" s="190" t="s">
        <v>427</v>
      </c>
      <c r="AE288" s="201"/>
      <c r="AF288" s="188"/>
      <c r="AG288" s="202" t="s">
        <v>131</v>
      </c>
      <c r="AH288" s="203" t="s">
        <v>428</v>
      </c>
      <c r="AI288" s="184"/>
      <c r="AJ288" s="182"/>
      <c r="AK288" s="182" t="s">
        <v>1302</v>
      </c>
      <c r="AL288" s="231" t="str">
        <f>VLOOKUP(AK288,'[3]17見直し計画'!$A$50:$AJ$584,6,0)</f>
        <v>特定非営利活動法人ＡＭＤＡ</v>
      </c>
      <c r="AM288" s="204" t="str">
        <f>VLOOKUP(AK288,'[3]17見直し計画'!$A$50:$AJ$584,8,0)</f>
        <v>「ＮＧＯ相談員制度」業務委嘱</v>
      </c>
      <c r="AN288" s="224">
        <f>VLOOKUP(AK288,'[3]17見直し計画'!$A$50:$AJ$584,10,0)</f>
        <v>38518</v>
      </c>
      <c r="AO288" s="205">
        <f>VLOOKUP(AK288,'[3]17見直し計画'!$A$50:$AJ$584,11,0)</f>
        <v>2230800</v>
      </c>
      <c r="AP288" s="204" t="str">
        <f>VLOOKUP(AK288,'[3]17見直し計画'!$A$50:$AJ$584,12,0)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88" s="204" t="str">
        <f>VLOOKUP(AK288,'[3]17見直し計画'!$A$50:$AJ$584,13,0)</f>
        <v>見直しの余地があるもの</v>
      </c>
      <c r="AR288" s="204" t="str">
        <f>VLOOKUP(AK288,'[3]17見直し計画'!$A$50:$AJ$584,14,0)</f>
        <v>企画招請を実施（１８年度以降も引き続き実施）</v>
      </c>
      <c r="AS288" s="204"/>
      <c r="AT288" s="204">
        <f>VLOOKUP(AK288,'[3]17見直し計画'!$A$50:$AJ$584,35,0)</f>
        <v>0</v>
      </c>
      <c r="AU288" s="204">
        <f>VLOOKUP(AK288,'[3]17見直し計画'!$A$50:$AJ$584,36,0)</f>
        <v>0</v>
      </c>
    </row>
    <row r="289" spans="1:48" ht="105" hidden="1" customHeight="1">
      <c r="B289" s="182"/>
      <c r="C289" s="182"/>
      <c r="D289" s="223" t="s">
        <v>752</v>
      </c>
      <c r="E289">
        <f t="shared" si="28"/>
        <v>203</v>
      </c>
      <c r="F289" s="185">
        <v>30</v>
      </c>
      <c r="G289" s="269">
        <v>30</v>
      </c>
      <c r="H289" s="270">
        <v>2200563</v>
      </c>
      <c r="I289" s="188"/>
      <c r="J289" s="188" t="s">
        <v>1283</v>
      </c>
      <c r="K289" s="201" t="s">
        <v>1085</v>
      </c>
      <c r="L289" s="271" t="s">
        <v>1163</v>
      </c>
      <c r="M289" s="188" t="s">
        <v>1284</v>
      </c>
      <c r="N289" s="190" t="s">
        <v>230</v>
      </c>
      <c r="O289" s="191" t="s">
        <v>139</v>
      </c>
      <c r="P289" s="189" t="s">
        <v>231</v>
      </c>
      <c r="Q289" s="272">
        <v>30</v>
      </c>
      <c r="R289" s="193" t="s">
        <v>1303</v>
      </c>
      <c r="S289" s="273" t="s">
        <v>125</v>
      </c>
      <c r="T289" s="274">
        <v>40318</v>
      </c>
      <c r="U289" s="196" t="s">
        <v>1304</v>
      </c>
      <c r="V289" s="197" t="s">
        <v>1305</v>
      </c>
      <c r="W289" s="193" t="s">
        <v>282</v>
      </c>
      <c r="X289" s="275">
        <v>3300000</v>
      </c>
      <c r="Y289" s="276">
        <v>3118315</v>
      </c>
      <c r="Z289" s="277">
        <f t="shared" si="29"/>
        <v>0.94399999999999995</v>
      </c>
      <c r="AA289" s="190"/>
      <c r="AB289" s="190"/>
      <c r="AC289" s="190">
        <v>1</v>
      </c>
      <c r="AD289" s="190" t="s">
        <v>631</v>
      </c>
      <c r="AE289" s="201"/>
      <c r="AF289" s="188"/>
      <c r="AG289" s="202" t="s">
        <v>131</v>
      </c>
      <c r="AH289" s="203" t="s">
        <v>171</v>
      </c>
      <c r="AI289" s="184"/>
      <c r="AJ289" s="182"/>
      <c r="AK289" s="182" t="s">
        <v>1306</v>
      </c>
      <c r="AL289" s="231" t="str">
        <f>VLOOKUP(AK289,'[3]17見直し計画'!$A$50:$AJ$584,6,0)</f>
        <v>特定非営利活動法人国際協力ＮＧＯセンター</v>
      </c>
      <c r="AM289" s="204" t="str">
        <f>VLOOKUP(AK289,'[3]17見直し計画'!$A$50:$AJ$584,8,0)</f>
        <v>「ＮＧＯ相談員制度」業務委嘱</v>
      </c>
      <c r="AN289" s="224">
        <f>VLOOKUP(AK289,'[3]17見直し計画'!$A$50:$AJ$584,10,0)</f>
        <v>38518</v>
      </c>
      <c r="AO289" s="205">
        <f>VLOOKUP(AK289,'[3]17見直し計画'!$A$50:$AJ$584,11,0)</f>
        <v>4684680</v>
      </c>
      <c r="AP289" s="204" t="str">
        <f>VLOOKUP(AK289,'[3]17見直し計画'!$A$50:$AJ$584,12,0)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89" s="204" t="str">
        <f>VLOOKUP(AK289,'[3]17見直し計画'!$A$50:$AJ$584,13,0)</f>
        <v>見直しの余地があるもの</v>
      </c>
      <c r="AR289" s="204" t="str">
        <f>VLOOKUP(AK289,'[3]17見直し計画'!$A$50:$AJ$584,14,0)</f>
        <v>企画招請を実施（１８年度以降も引き続き実施）</v>
      </c>
      <c r="AS289" s="204"/>
      <c r="AT289" s="204">
        <f>VLOOKUP(AK289,'[3]17見直し計画'!$A$50:$AJ$584,35,0)</f>
        <v>0</v>
      </c>
      <c r="AU289" s="204">
        <f>VLOOKUP(AK289,'[3]17見直し計画'!$A$50:$AJ$584,36,0)</f>
        <v>0</v>
      </c>
    </row>
    <row r="290" spans="1:48" ht="105" hidden="1" customHeight="1">
      <c r="B290" s="182"/>
      <c r="C290" s="182"/>
      <c r="D290" s="223" t="s">
        <v>752</v>
      </c>
      <c r="E290">
        <f t="shared" si="28"/>
        <v>204</v>
      </c>
      <c r="F290" s="185">
        <v>31</v>
      </c>
      <c r="G290" s="269">
        <v>31</v>
      </c>
      <c r="H290" s="270">
        <v>2200563</v>
      </c>
      <c r="I290" s="188"/>
      <c r="J290" s="188" t="s">
        <v>1283</v>
      </c>
      <c r="K290" s="201" t="s">
        <v>1085</v>
      </c>
      <c r="L290" s="271" t="s">
        <v>1163</v>
      </c>
      <c r="M290" s="188" t="s">
        <v>1284</v>
      </c>
      <c r="N290" s="190" t="s">
        <v>230</v>
      </c>
      <c r="O290" s="191" t="s">
        <v>139</v>
      </c>
      <c r="P290" s="189" t="s">
        <v>231</v>
      </c>
      <c r="Q290" s="272">
        <v>31</v>
      </c>
      <c r="R290" s="193" t="s">
        <v>1295</v>
      </c>
      <c r="S290" s="273" t="s">
        <v>125</v>
      </c>
      <c r="T290" s="274">
        <v>40318</v>
      </c>
      <c r="U290" s="196" t="s">
        <v>1307</v>
      </c>
      <c r="V290" s="197" t="s">
        <v>1297</v>
      </c>
      <c r="W290" s="193" t="s">
        <v>282</v>
      </c>
      <c r="X290" s="275">
        <v>3300000</v>
      </c>
      <c r="Y290" s="276">
        <v>3115900</v>
      </c>
      <c r="Z290" s="277">
        <f t="shared" si="29"/>
        <v>0.94399999999999995</v>
      </c>
      <c r="AA290" s="190"/>
      <c r="AB290" s="190"/>
      <c r="AC290" s="190">
        <v>2</v>
      </c>
      <c r="AD290" s="190" t="s">
        <v>427</v>
      </c>
      <c r="AE290" s="201"/>
      <c r="AF290" s="188"/>
      <c r="AG290" s="202" t="s">
        <v>131</v>
      </c>
      <c r="AH290" s="203" t="s">
        <v>428</v>
      </c>
      <c r="AI290" s="184"/>
      <c r="AJ290" s="182"/>
      <c r="AK290" s="182" t="s">
        <v>1298</v>
      </c>
      <c r="AL290" s="231" t="str">
        <f>VLOOKUP(AK290,'[3]17見直し計画'!$A$50:$AJ$584,6,0)</f>
        <v>特定非営利活動法人名古屋ＮＧＯセンター</v>
      </c>
      <c r="AM290" s="204" t="str">
        <f>VLOOKUP(AK290,'[3]17見直し計画'!$A$50:$AJ$584,8,0)</f>
        <v>「ＮＧＯ相談員制度」業務委嘱</v>
      </c>
      <c r="AN290" s="224">
        <f>VLOOKUP(AK290,'[3]17見直し計画'!$A$50:$AJ$584,10,0)</f>
        <v>38518</v>
      </c>
      <c r="AO290" s="205">
        <f>VLOOKUP(AK290,'[3]17見直し計画'!$A$50:$AJ$584,11,0)</f>
        <v>2230800</v>
      </c>
      <c r="AP290" s="204" t="str">
        <f>VLOOKUP(AK290,'[3]17見直し計画'!$A$50:$AJ$584,12,0)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90" s="204" t="str">
        <f>VLOOKUP(AK290,'[3]17見直し計画'!$A$50:$AJ$584,13,0)</f>
        <v>見直しの余地があるもの</v>
      </c>
      <c r="AR290" s="204" t="str">
        <f>VLOOKUP(AK290,'[3]17見直し計画'!$A$50:$AJ$584,14,0)</f>
        <v>企画招請を実施（１８年度以降も引き続き実施）</v>
      </c>
      <c r="AS290" s="204"/>
      <c r="AT290" s="204">
        <f>VLOOKUP(AK290,'[3]17見直し計画'!$A$50:$AJ$584,35,0)</f>
        <v>0</v>
      </c>
      <c r="AU290" s="204">
        <f>VLOOKUP(AK290,'[3]17見直し計画'!$A$50:$AJ$584,36,0)</f>
        <v>0</v>
      </c>
    </row>
    <row r="291" spans="1:48" ht="105" hidden="1" customHeight="1">
      <c r="B291" s="182"/>
      <c r="C291" s="182"/>
      <c r="D291" s="223" t="s">
        <v>752</v>
      </c>
      <c r="E291">
        <f t="shared" si="28"/>
        <v>205</v>
      </c>
      <c r="F291" s="185">
        <v>32</v>
      </c>
      <c r="G291" s="269">
        <v>32</v>
      </c>
      <c r="H291" s="270">
        <v>2200563</v>
      </c>
      <c r="I291" s="188"/>
      <c r="J291" s="188" t="s">
        <v>1283</v>
      </c>
      <c r="K291" s="201" t="s">
        <v>1085</v>
      </c>
      <c r="L291" s="271" t="s">
        <v>1163</v>
      </c>
      <c r="M291" s="188" t="s">
        <v>1284</v>
      </c>
      <c r="N291" s="190" t="s">
        <v>230</v>
      </c>
      <c r="O291" s="191" t="s">
        <v>139</v>
      </c>
      <c r="P291" s="189" t="s">
        <v>231</v>
      </c>
      <c r="Q291" s="272">
        <v>32</v>
      </c>
      <c r="R291" s="193" t="s">
        <v>1308</v>
      </c>
      <c r="S291" s="273" t="s">
        <v>125</v>
      </c>
      <c r="T291" s="274">
        <v>40318</v>
      </c>
      <c r="U291" s="196" t="s">
        <v>1309</v>
      </c>
      <c r="V291" s="197" t="s">
        <v>1310</v>
      </c>
      <c r="W291" s="193" t="s">
        <v>282</v>
      </c>
      <c r="X291" s="275">
        <v>3300000</v>
      </c>
      <c r="Y291" s="276">
        <v>3110835</v>
      </c>
      <c r="Z291" s="277">
        <f t="shared" si="29"/>
        <v>0.94199999999999995</v>
      </c>
      <c r="AA291" s="190"/>
      <c r="AB291" s="190"/>
      <c r="AC291" s="190">
        <v>1</v>
      </c>
      <c r="AD291" s="190" t="s">
        <v>631</v>
      </c>
      <c r="AE291" s="201"/>
      <c r="AF291" s="188"/>
      <c r="AG291" s="202" t="s">
        <v>131</v>
      </c>
      <c r="AH291" s="203" t="s">
        <v>171</v>
      </c>
      <c r="AI291" s="184"/>
      <c r="AJ291" s="182"/>
      <c r="AK291" s="182" t="s">
        <v>1311</v>
      </c>
      <c r="AL291" s="231" t="str">
        <f>VLOOKUP(AK291,'[3]17見直し計画'!$A$50:$AJ$584,6,0)</f>
        <v>特定非営利活動法人国際ボランティアセンター山形　</v>
      </c>
      <c r="AM291" s="204" t="str">
        <f>VLOOKUP(AK291,'[3]17見直し計画'!$A$50:$AJ$584,8,0)</f>
        <v>「ＮＧＯ相談員制度」業務委嘱</v>
      </c>
      <c r="AN291" s="224">
        <f>VLOOKUP(AK291,'[3]17見直し計画'!$A$50:$AJ$584,10,0)</f>
        <v>38518</v>
      </c>
      <c r="AO291" s="205">
        <f>VLOOKUP(AK291,'[3]17見直し計画'!$A$50:$AJ$584,11,0)</f>
        <v>2342340</v>
      </c>
      <c r="AP291" s="204" t="str">
        <f>VLOOKUP(AK291,'[3]17見直し計画'!$A$50:$AJ$584,12,0)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91" s="204" t="str">
        <f>VLOOKUP(AK291,'[3]17見直し計画'!$A$50:$AJ$584,13,0)</f>
        <v>見直しの余地があるもの</v>
      </c>
      <c r="AR291" s="204" t="str">
        <f>VLOOKUP(AK291,'[3]17見直し計画'!$A$50:$AJ$584,14,0)</f>
        <v>企画招請を実施（１８年度以降も引き続き実施）</v>
      </c>
      <c r="AS291" s="204"/>
      <c r="AT291" s="204">
        <f>VLOOKUP(AK291,'[3]17見直し計画'!$A$50:$AJ$584,35,0)</f>
        <v>0</v>
      </c>
      <c r="AU291" s="204">
        <f>VLOOKUP(AK291,'[3]17見直し計画'!$A$50:$AJ$584,36,0)</f>
        <v>0</v>
      </c>
    </row>
    <row r="292" spans="1:48" ht="105" hidden="1" customHeight="1">
      <c r="B292" s="182"/>
      <c r="C292" s="182"/>
      <c r="D292" s="223" t="s">
        <v>421</v>
      </c>
      <c r="E292">
        <f t="shared" si="28"/>
        <v>206</v>
      </c>
      <c r="F292" s="185">
        <v>33</v>
      </c>
      <c r="G292" s="269">
        <v>33</v>
      </c>
      <c r="H292" s="270">
        <v>2200563</v>
      </c>
      <c r="I292" s="188"/>
      <c r="J292" s="188" t="s">
        <v>1283</v>
      </c>
      <c r="K292" s="201" t="s">
        <v>1085</v>
      </c>
      <c r="L292" s="271" t="s">
        <v>1163</v>
      </c>
      <c r="M292" s="188" t="s">
        <v>1284</v>
      </c>
      <c r="N292" s="190" t="s">
        <v>230</v>
      </c>
      <c r="O292" s="191" t="s">
        <v>139</v>
      </c>
      <c r="P292" s="189" t="s">
        <v>231</v>
      </c>
      <c r="Q292" s="272">
        <v>33</v>
      </c>
      <c r="R292" s="193" t="s">
        <v>1312</v>
      </c>
      <c r="S292" s="273" t="s">
        <v>125</v>
      </c>
      <c r="T292" s="274">
        <v>40318</v>
      </c>
      <c r="U292" s="196" t="s">
        <v>1313</v>
      </c>
      <c r="V292" s="197" t="s">
        <v>1314</v>
      </c>
      <c r="W292" s="193" t="s">
        <v>282</v>
      </c>
      <c r="X292" s="275">
        <v>3300000</v>
      </c>
      <c r="Y292" s="276">
        <v>3106757</v>
      </c>
      <c r="Z292" s="277">
        <f t="shared" si="29"/>
        <v>0.94099999999999995</v>
      </c>
      <c r="AA292" s="190"/>
      <c r="AB292" s="190"/>
      <c r="AC292" s="190">
        <v>4</v>
      </c>
      <c r="AD292" s="190" t="s">
        <v>237</v>
      </c>
      <c r="AE292" s="201"/>
      <c r="AF292" s="188"/>
      <c r="AG292" s="202" t="s">
        <v>131</v>
      </c>
      <c r="AH292" s="203" t="s">
        <v>238</v>
      </c>
      <c r="AI292" s="184"/>
      <c r="AJ292" s="182" t="s">
        <v>156</v>
      </c>
      <c r="AK292" s="182" t="s">
        <v>147</v>
      </c>
      <c r="AL292" s="231" t="str">
        <f>VLOOKUP(AK292,'[3]17見直し計画'!$A$50:$AJ$584,6,0)</f>
        <v>　見直し計画策定以降の新規案件</v>
      </c>
      <c r="AM292" s="204">
        <f>VLOOKUP(AK292,'[3]17見直し計画'!$A$50:$AJ$584,8,0)</f>
        <v>0</v>
      </c>
      <c r="AN292" s="224"/>
      <c r="AO292" s="205">
        <f>VLOOKUP(AK292,'[3]17見直し計画'!$A$50:$AJ$584,11,0)</f>
        <v>0</v>
      </c>
      <c r="AP292" s="204">
        <f>VLOOKUP(AK292,'[3]17見直し計画'!$A$50:$AJ$584,12,0)</f>
        <v>0</v>
      </c>
      <c r="AQ292" s="204">
        <f>VLOOKUP(AK292,'[3]17見直し計画'!$A$50:$AJ$584,13,0)</f>
        <v>0</v>
      </c>
      <c r="AR292" s="204">
        <f>VLOOKUP(AK292,'[3]17見直し計画'!$A$50:$AJ$584,14,0)</f>
        <v>0</v>
      </c>
      <c r="AS292" s="204"/>
      <c r="AT292" s="204">
        <f>VLOOKUP(AK292,'[3]17見直し計画'!$A$50:$AJ$584,35,0)</f>
        <v>0</v>
      </c>
      <c r="AU292" s="204">
        <f>VLOOKUP(AK292,'[3]17見直し計画'!$A$50:$AJ$584,36,0)</f>
        <v>0</v>
      </c>
    </row>
    <row r="293" spans="1:48" ht="105" hidden="1" customHeight="1">
      <c r="B293" s="182"/>
      <c r="C293" s="182"/>
      <c r="D293" s="223" t="s">
        <v>752</v>
      </c>
      <c r="E293">
        <f t="shared" si="28"/>
        <v>207</v>
      </c>
      <c r="F293" s="185">
        <v>34</v>
      </c>
      <c r="G293" s="269">
        <v>34</v>
      </c>
      <c r="H293" s="270">
        <v>2200563</v>
      </c>
      <c r="I293" s="188"/>
      <c r="J293" s="188" t="s">
        <v>1283</v>
      </c>
      <c r="K293" s="201" t="s">
        <v>1085</v>
      </c>
      <c r="L293" s="271" t="s">
        <v>1163</v>
      </c>
      <c r="M293" s="188" t="s">
        <v>1284</v>
      </c>
      <c r="N293" s="190" t="s">
        <v>911</v>
      </c>
      <c r="O293" s="191" t="s">
        <v>688</v>
      </c>
      <c r="P293" s="189" t="s">
        <v>231</v>
      </c>
      <c r="Q293" s="272">
        <v>34</v>
      </c>
      <c r="R293" s="193" t="s">
        <v>1315</v>
      </c>
      <c r="S293" s="273" t="s">
        <v>125</v>
      </c>
      <c r="T293" s="274">
        <v>40318</v>
      </c>
      <c r="U293" s="196" t="s">
        <v>1316</v>
      </c>
      <c r="V293" s="197" t="s">
        <v>1317</v>
      </c>
      <c r="W293" s="193" t="s">
        <v>282</v>
      </c>
      <c r="X293" s="275">
        <v>3300000</v>
      </c>
      <c r="Y293" s="276">
        <v>3096805</v>
      </c>
      <c r="Z293" s="277">
        <f t="shared" si="29"/>
        <v>0.93799999999999994</v>
      </c>
      <c r="AA293" s="190"/>
      <c r="AB293" s="190"/>
      <c r="AC293" s="190">
        <v>1</v>
      </c>
      <c r="AD293" s="190" t="s">
        <v>915</v>
      </c>
      <c r="AE293" s="201"/>
      <c r="AF293" s="188"/>
      <c r="AG293" s="202" t="s">
        <v>131</v>
      </c>
      <c r="AH293" s="203" t="s">
        <v>171</v>
      </c>
      <c r="AI293" s="184"/>
      <c r="AJ293" s="182"/>
      <c r="AK293" s="182" t="s">
        <v>1318</v>
      </c>
      <c r="AL293" s="231" t="str">
        <f>VLOOKUP(AK293,'[3]17見直し計画'!$A$50:$AJ$584,6,0)</f>
        <v>特定非営利活動法人さっぽろ自由学校「遊」</v>
      </c>
      <c r="AM293" s="204" t="str">
        <f>VLOOKUP(AK293,'[3]17見直し計画'!$A$50:$AJ$584,8,0)</f>
        <v>「ＮＧＯ相談員制度」業務委嘱</v>
      </c>
      <c r="AN293" s="224">
        <f>VLOOKUP(AK293,'[3]17見直し計画'!$A$50:$AJ$584,10,0)</f>
        <v>38518</v>
      </c>
      <c r="AO293" s="205">
        <f>VLOOKUP(AK293,'[3]17見直し計画'!$A$50:$AJ$584,11,0)</f>
        <v>2342340</v>
      </c>
      <c r="AP293" s="204" t="str">
        <f>VLOOKUP(AK293,'[3]17見直し計画'!$A$50:$AJ$584,12,0)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93" s="204" t="str">
        <f>VLOOKUP(AK293,'[3]17見直し計画'!$A$50:$AJ$584,13,0)</f>
        <v>見直しの余地があるもの</v>
      </c>
      <c r="AR293" s="204" t="str">
        <f>VLOOKUP(AK293,'[3]17見直し計画'!$A$50:$AJ$584,14,0)</f>
        <v>企画招請を実施（１８年度以降も引き続き実施）</v>
      </c>
      <c r="AS293" s="204"/>
      <c r="AT293" s="204">
        <f>VLOOKUP(AK293,'[3]17見直し計画'!$A$50:$AJ$584,35,0)</f>
        <v>0</v>
      </c>
      <c r="AU293" s="204">
        <f>VLOOKUP(AK293,'[3]17見直し計画'!$A$50:$AJ$584,36,0)</f>
        <v>0</v>
      </c>
    </row>
    <row r="294" spans="1:48" ht="105" hidden="1" customHeight="1">
      <c r="B294" s="182"/>
      <c r="C294" s="182"/>
      <c r="D294" s="223" t="s">
        <v>752</v>
      </c>
      <c r="E294">
        <f t="shared" si="28"/>
        <v>208</v>
      </c>
      <c r="F294" s="185">
        <v>35</v>
      </c>
      <c r="G294" s="269">
        <v>35</v>
      </c>
      <c r="H294" s="270">
        <v>2200563</v>
      </c>
      <c r="I294" s="188"/>
      <c r="J294" s="188" t="s">
        <v>1283</v>
      </c>
      <c r="K294" s="201" t="s">
        <v>1085</v>
      </c>
      <c r="L294" s="271" t="s">
        <v>1163</v>
      </c>
      <c r="M294" s="188" t="s">
        <v>1284</v>
      </c>
      <c r="N294" s="190" t="s">
        <v>230</v>
      </c>
      <c r="O294" s="191" t="s">
        <v>139</v>
      </c>
      <c r="P294" s="189" t="s">
        <v>231</v>
      </c>
      <c r="Q294" s="272">
        <v>35</v>
      </c>
      <c r="R294" s="193" t="s">
        <v>1319</v>
      </c>
      <c r="S294" s="273" t="s">
        <v>125</v>
      </c>
      <c r="T294" s="274">
        <v>40318</v>
      </c>
      <c r="U294" s="196" t="s">
        <v>1320</v>
      </c>
      <c r="V294" s="197" t="s">
        <v>1321</v>
      </c>
      <c r="W294" s="193" t="s">
        <v>282</v>
      </c>
      <c r="X294" s="275">
        <v>3300000</v>
      </c>
      <c r="Y294" s="276">
        <v>3049315</v>
      </c>
      <c r="Z294" s="277">
        <f t="shared" si="29"/>
        <v>0.92400000000000004</v>
      </c>
      <c r="AA294" s="190"/>
      <c r="AB294" s="190"/>
      <c r="AC294" s="190">
        <v>3</v>
      </c>
      <c r="AD294" s="190" t="s">
        <v>237</v>
      </c>
      <c r="AE294" s="201"/>
      <c r="AF294" s="188"/>
      <c r="AG294" s="202" t="s">
        <v>131</v>
      </c>
      <c r="AH294" s="203" t="s">
        <v>238</v>
      </c>
      <c r="AI294" s="184"/>
      <c r="AJ294" s="182" t="s">
        <v>1322</v>
      </c>
      <c r="AK294" s="182" t="s">
        <v>1323</v>
      </c>
      <c r="AL294" s="231" t="str">
        <f>VLOOKUP(AK294,'[3]17見直し計画'!$A$50:$AJ$584,6,0)</f>
        <v>特定非営利活動法人国際理解教育センター</v>
      </c>
      <c r="AM294" s="204" t="str">
        <f>VLOOKUP(AK294,'[3]17見直し計画'!$A$50:$AJ$584,8,0)</f>
        <v>「ＮＧＯ相談員制度」実施契約</v>
      </c>
      <c r="AN294" s="224">
        <f>VLOOKUP(AK294,'[3]17見直し計画'!$A$50:$AJ$584,10,0)</f>
        <v>38545</v>
      </c>
      <c r="AO294" s="205">
        <f>VLOOKUP(AK294,'[3]17見直し計画'!$A$50:$AJ$584,11,0)</f>
        <v>2022967</v>
      </c>
      <c r="AP294" s="204" t="str">
        <f>VLOOKUP(AK294,'[3]17見直し計画'!$A$50:$AJ$584,12,0)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94" s="204" t="str">
        <f>VLOOKUP(AK294,'[3]17見直し計画'!$A$50:$AJ$584,13,0)</f>
        <v>見直しの余地があるもの</v>
      </c>
      <c r="AR294" s="204" t="str">
        <f>VLOOKUP(AK294,'[3]17見直し計画'!$A$50:$AJ$584,14,0)</f>
        <v>企画招請を実施（１８年度以降も引き続き実施）</v>
      </c>
      <c r="AS294" s="204"/>
      <c r="AT294" s="204">
        <f>VLOOKUP(AK294,'[3]17見直し計画'!$A$50:$AJ$584,35,0)</f>
        <v>0</v>
      </c>
      <c r="AU294" s="204">
        <f>VLOOKUP(AK294,'[3]17見直し計画'!$A$50:$AJ$584,36,0)</f>
        <v>0</v>
      </c>
    </row>
    <row r="295" spans="1:48" ht="105" hidden="1" customHeight="1">
      <c r="B295" s="182"/>
      <c r="C295" s="182"/>
      <c r="D295" s="223" t="s">
        <v>752</v>
      </c>
      <c r="E295">
        <f t="shared" si="28"/>
        <v>209</v>
      </c>
      <c r="F295" s="185">
        <v>36</v>
      </c>
      <c r="G295" s="269">
        <v>36</v>
      </c>
      <c r="H295" s="270">
        <v>2200563</v>
      </c>
      <c r="I295" s="188"/>
      <c r="J295" s="188" t="s">
        <v>1283</v>
      </c>
      <c r="K295" s="201" t="s">
        <v>1085</v>
      </c>
      <c r="L295" s="271" t="s">
        <v>1163</v>
      </c>
      <c r="M295" s="188" t="s">
        <v>1284</v>
      </c>
      <c r="N295" s="190" t="s">
        <v>230</v>
      </c>
      <c r="O295" s="191" t="s">
        <v>139</v>
      </c>
      <c r="P295" s="189" t="s">
        <v>231</v>
      </c>
      <c r="Q295" s="272">
        <v>36</v>
      </c>
      <c r="R295" s="193" t="s">
        <v>1324</v>
      </c>
      <c r="S295" s="273" t="s">
        <v>125</v>
      </c>
      <c r="T295" s="274">
        <v>40318</v>
      </c>
      <c r="U295" s="196" t="s">
        <v>1325</v>
      </c>
      <c r="V295" s="197" t="s">
        <v>1326</v>
      </c>
      <c r="W295" s="193" t="s">
        <v>282</v>
      </c>
      <c r="X295" s="275">
        <v>3300000</v>
      </c>
      <c r="Y295" s="276">
        <v>3015075</v>
      </c>
      <c r="Z295" s="277">
        <f t="shared" si="29"/>
        <v>0.91300000000000003</v>
      </c>
      <c r="AA295" s="190"/>
      <c r="AB295" s="190"/>
      <c r="AC295" s="190">
        <v>1</v>
      </c>
      <c r="AD295" s="190" t="s">
        <v>631</v>
      </c>
      <c r="AE295" s="201"/>
      <c r="AF295" s="188"/>
      <c r="AG295" s="202" t="s">
        <v>131</v>
      </c>
      <c r="AH295" s="203" t="s">
        <v>171</v>
      </c>
      <c r="AI295" s="184"/>
      <c r="AJ295" s="182"/>
      <c r="AK295" s="182" t="s">
        <v>1327</v>
      </c>
      <c r="AL295" s="231" t="str">
        <f>VLOOKUP(AK295,'[3]17見直し計画'!$A$50:$AJ$584,6,0)</f>
        <v>沖縄ＮＧＯ活動推進協議会</v>
      </c>
      <c r="AM295" s="204" t="str">
        <f>VLOOKUP(AK295,'[3]17見直し計画'!$A$50:$AJ$584,8,0)</f>
        <v>「ＮＧＯ相談員制度」業務委嘱</v>
      </c>
      <c r="AN295" s="224">
        <f>VLOOKUP(AK295,'[3]17見直し計画'!$A$50:$AJ$584,10,0)</f>
        <v>38518</v>
      </c>
      <c r="AO295" s="205">
        <f>VLOOKUP(AK295,'[3]17見直し計画'!$A$50:$AJ$584,11,0)</f>
        <v>2230800</v>
      </c>
      <c r="AP295" s="204" t="str">
        <f>VLOOKUP(AK295,'[3]17見直し計画'!$A$50:$AJ$584,12,0)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95" s="204" t="str">
        <f>VLOOKUP(AK295,'[3]17見直し計画'!$A$50:$AJ$584,13,0)</f>
        <v>見直しの余地があるもの</v>
      </c>
      <c r="AR295" s="204" t="str">
        <f>VLOOKUP(AK295,'[3]17見直し計画'!$A$50:$AJ$584,14,0)</f>
        <v>企画招請を実施（１８年度以降も引き続き実施）</v>
      </c>
      <c r="AS295" s="204"/>
      <c r="AT295" s="204">
        <f>VLOOKUP(AK295,'[3]17見直し計画'!$A$50:$AJ$584,35,0)</f>
        <v>0</v>
      </c>
      <c r="AU295" s="204">
        <f>VLOOKUP(AK295,'[3]17見直し計画'!$A$50:$AJ$584,36,0)</f>
        <v>0</v>
      </c>
    </row>
    <row r="296" spans="1:48" ht="105" hidden="1" customHeight="1">
      <c r="B296" s="182"/>
      <c r="C296" s="182"/>
      <c r="D296" s="223" t="s">
        <v>752</v>
      </c>
      <c r="E296">
        <f t="shared" si="28"/>
        <v>210</v>
      </c>
      <c r="F296" s="185">
        <v>37</v>
      </c>
      <c r="G296" s="269">
        <v>37</v>
      </c>
      <c r="H296" s="270">
        <v>2200563</v>
      </c>
      <c r="I296" s="188"/>
      <c r="J296" s="188" t="s">
        <v>1283</v>
      </c>
      <c r="K296" s="201" t="s">
        <v>1085</v>
      </c>
      <c r="L296" s="271" t="s">
        <v>1163</v>
      </c>
      <c r="M296" s="188" t="s">
        <v>1284</v>
      </c>
      <c r="N296" s="190" t="s">
        <v>230</v>
      </c>
      <c r="O296" s="191" t="s">
        <v>139</v>
      </c>
      <c r="P296" s="189" t="s">
        <v>231</v>
      </c>
      <c r="Q296" s="272">
        <v>37</v>
      </c>
      <c r="R296" s="193" t="s">
        <v>1328</v>
      </c>
      <c r="S296" s="273" t="s">
        <v>125</v>
      </c>
      <c r="T296" s="274">
        <v>40318</v>
      </c>
      <c r="U296" s="196" t="s">
        <v>1329</v>
      </c>
      <c r="V296" s="197" t="s">
        <v>1330</v>
      </c>
      <c r="W296" s="193" t="s">
        <v>282</v>
      </c>
      <c r="X296" s="275">
        <v>3300000</v>
      </c>
      <c r="Y296" s="276">
        <v>3013100</v>
      </c>
      <c r="Z296" s="277">
        <f t="shared" si="29"/>
        <v>0.91300000000000003</v>
      </c>
      <c r="AA296" s="190"/>
      <c r="AB296" s="190"/>
      <c r="AC296" s="190">
        <v>1</v>
      </c>
      <c r="AD296" s="190" t="s">
        <v>631</v>
      </c>
      <c r="AE296" s="201"/>
      <c r="AF296" s="188"/>
      <c r="AG296" s="202" t="s">
        <v>131</v>
      </c>
      <c r="AH296" s="203" t="s">
        <v>171</v>
      </c>
      <c r="AI296" s="184"/>
      <c r="AJ296" s="182"/>
      <c r="AK296" s="182" t="s">
        <v>1323</v>
      </c>
      <c r="AL296" s="231" t="str">
        <f>VLOOKUP(AK296,'[3]17見直し計画'!$A$50:$AJ$584,6,0)</f>
        <v>特定非営利活動法人国際理解教育センター</v>
      </c>
      <c r="AM296" s="204" t="str">
        <f>VLOOKUP(AK296,'[3]17見直し計画'!$A$50:$AJ$584,8,0)</f>
        <v>「ＮＧＯ相談員制度」実施契約</v>
      </c>
      <c r="AN296" s="224">
        <f>VLOOKUP(AK296,'[3]17見直し計画'!$A$50:$AJ$584,10,0)</f>
        <v>38545</v>
      </c>
      <c r="AO296" s="205">
        <f>VLOOKUP(AK296,'[3]17見直し計画'!$A$50:$AJ$584,11,0)</f>
        <v>2022967</v>
      </c>
      <c r="AP296" s="204" t="str">
        <f>VLOOKUP(AK296,'[3]17見直し計画'!$A$50:$AJ$584,12,0)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96" s="204" t="str">
        <f>VLOOKUP(AK296,'[3]17見直し計画'!$A$50:$AJ$584,13,0)</f>
        <v>見直しの余地があるもの</v>
      </c>
      <c r="AR296" s="204" t="str">
        <f>VLOOKUP(AK296,'[3]17見直し計画'!$A$50:$AJ$584,14,0)</f>
        <v>企画招請を実施（１８年度以降も引き続き実施）</v>
      </c>
      <c r="AS296" s="204"/>
      <c r="AT296" s="204">
        <f>VLOOKUP(AK296,'[3]17見直し計画'!$A$50:$AJ$584,35,0)</f>
        <v>0</v>
      </c>
      <c r="AU296" s="204">
        <f>VLOOKUP(AK296,'[3]17見直し計画'!$A$50:$AJ$584,36,0)</f>
        <v>0</v>
      </c>
    </row>
    <row r="297" spans="1:48" ht="105" hidden="1" customHeight="1">
      <c r="B297" s="182"/>
      <c r="C297" s="182"/>
      <c r="D297" s="223" t="s">
        <v>752</v>
      </c>
      <c r="E297">
        <f t="shared" si="28"/>
        <v>211</v>
      </c>
      <c r="F297" s="185">
        <v>38</v>
      </c>
      <c r="G297" s="269">
        <v>38</v>
      </c>
      <c r="H297" s="270">
        <v>2200563</v>
      </c>
      <c r="I297" s="188"/>
      <c r="J297" s="188" t="s">
        <v>1283</v>
      </c>
      <c r="K297" s="201" t="s">
        <v>1085</v>
      </c>
      <c r="L297" s="271" t="s">
        <v>1163</v>
      </c>
      <c r="M297" s="188" t="s">
        <v>1284</v>
      </c>
      <c r="N297" s="190" t="s">
        <v>230</v>
      </c>
      <c r="O297" s="191" t="s">
        <v>139</v>
      </c>
      <c r="P297" s="189" t="s">
        <v>231</v>
      </c>
      <c r="Q297" s="272">
        <v>38</v>
      </c>
      <c r="R297" s="193" t="s">
        <v>1331</v>
      </c>
      <c r="S297" s="273" t="s">
        <v>125</v>
      </c>
      <c r="T297" s="274">
        <v>40318</v>
      </c>
      <c r="U297" s="196" t="s">
        <v>1332</v>
      </c>
      <c r="V297" s="197" t="s">
        <v>1333</v>
      </c>
      <c r="W297" s="193" t="s">
        <v>282</v>
      </c>
      <c r="X297" s="275">
        <v>3300000</v>
      </c>
      <c r="Y297" s="276">
        <v>3006500</v>
      </c>
      <c r="Z297" s="277">
        <f t="shared" si="29"/>
        <v>0.91100000000000003</v>
      </c>
      <c r="AA297" s="190"/>
      <c r="AB297" s="190"/>
      <c r="AC297" s="190">
        <v>2</v>
      </c>
      <c r="AD297" s="190" t="s">
        <v>427</v>
      </c>
      <c r="AE297" s="201"/>
      <c r="AF297" s="188"/>
      <c r="AG297" s="202" t="s">
        <v>131</v>
      </c>
      <c r="AH297" s="203" t="s">
        <v>428</v>
      </c>
      <c r="AI297" s="184"/>
      <c r="AJ297" s="182"/>
      <c r="AK297" s="182" t="s">
        <v>1334</v>
      </c>
      <c r="AL297" s="231" t="str">
        <f>VLOOKUP(AK297,'[3]17見直し計画'!$A$50:$AJ$584,6,0)</f>
        <v>ＮＧＯ福岡ネットワーク　</v>
      </c>
      <c r="AM297" s="204" t="str">
        <f>VLOOKUP(AK297,'[3]17見直し計画'!$A$50:$AJ$584,8,0)</f>
        <v>「ＮＧＯ相談員制度」業務委嘱</v>
      </c>
      <c r="AN297" s="224">
        <f>VLOOKUP(AK297,'[3]17見直し計画'!$A$50:$AJ$584,10,0)</f>
        <v>38518</v>
      </c>
      <c r="AO297" s="205">
        <f>VLOOKUP(AK297,'[3]17見直し計画'!$A$50:$AJ$584,11,0)</f>
        <v>2230800</v>
      </c>
      <c r="AP297" s="204" t="str">
        <f>VLOOKUP(AK297,'[3]17見直し計画'!$A$50:$AJ$584,12,0)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97" s="204" t="str">
        <f>VLOOKUP(AK297,'[3]17見直し計画'!$A$50:$AJ$584,13,0)</f>
        <v>見直しの余地があるもの</v>
      </c>
      <c r="AR297" s="204" t="str">
        <f>VLOOKUP(AK297,'[3]17見直し計画'!$A$50:$AJ$584,14,0)</f>
        <v>企画招請を実施（１８年度以降も引き続き実施）</v>
      </c>
      <c r="AS297" s="204"/>
      <c r="AT297" s="204">
        <f>VLOOKUP(AK297,'[3]17見直し計画'!$A$50:$AJ$584,35,0)</f>
        <v>0</v>
      </c>
      <c r="AU297" s="204">
        <f>VLOOKUP(AK297,'[3]17見直し計画'!$A$50:$AJ$584,36,0)</f>
        <v>0</v>
      </c>
    </row>
    <row r="298" spans="1:48" ht="105" hidden="1" customHeight="1">
      <c r="B298" s="182"/>
      <c r="C298" s="182"/>
      <c r="D298" s="223" t="s">
        <v>752</v>
      </c>
      <c r="E298">
        <f t="shared" ref="E298:E360" si="30">SUM(E297+1)</f>
        <v>212</v>
      </c>
      <c r="F298" s="185">
        <v>39</v>
      </c>
      <c r="G298" s="269">
        <v>39</v>
      </c>
      <c r="H298" s="270">
        <v>2200563</v>
      </c>
      <c r="I298" s="188"/>
      <c r="J298" s="188" t="s">
        <v>1283</v>
      </c>
      <c r="K298" s="201" t="s">
        <v>1085</v>
      </c>
      <c r="L298" s="271" t="s">
        <v>1163</v>
      </c>
      <c r="M298" s="188" t="s">
        <v>1284</v>
      </c>
      <c r="N298" s="190" t="s">
        <v>230</v>
      </c>
      <c r="O298" s="191" t="s">
        <v>139</v>
      </c>
      <c r="P298" s="189" t="s">
        <v>231</v>
      </c>
      <c r="Q298" s="272">
        <v>39</v>
      </c>
      <c r="R298" s="193" t="s">
        <v>1335</v>
      </c>
      <c r="S298" s="273" t="s">
        <v>125</v>
      </c>
      <c r="T298" s="274">
        <v>40318</v>
      </c>
      <c r="U298" s="196" t="s">
        <v>1336</v>
      </c>
      <c r="V298" s="197" t="s">
        <v>1337</v>
      </c>
      <c r="W298" s="193" t="s">
        <v>282</v>
      </c>
      <c r="X298" s="275">
        <v>3300000</v>
      </c>
      <c r="Y298" s="276">
        <v>2984940</v>
      </c>
      <c r="Z298" s="277">
        <f t="shared" si="29"/>
        <v>0.90400000000000003</v>
      </c>
      <c r="AA298" s="190"/>
      <c r="AB298" s="190"/>
      <c r="AC298" s="190">
        <v>3</v>
      </c>
      <c r="AD298" s="190" t="s">
        <v>237</v>
      </c>
      <c r="AE298" s="201"/>
      <c r="AF298" s="188"/>
      <c r="AG298" s="202" t="s">
        <v>131</v>
      </c>
      <c r="AH298" s="203" t="s">
        <v>238</v>
      </c>
      <c r="AI298" s="184"/>
      <c r="AJ298" s="182"/>
      <c r="AK298" s="182" t="s">
        <v>1338</v>
      </c>
      <c r="AL298" s="231" t="str">
        <f>VLOOKUP(AK298,'[3]17見直し計画'!$A$50:$AJ$584,6,0)</f>
        <v>特定非営利活動法人難民を助ける会</v>
      </c>
      <c r="AM298" s="204" t="str">
        <f>VLOOKUP(AK298,'[3]17見直し計画'!$A$50:$AJ$584,8,0)</f>
        <v>「ＮＧＯ相談員制度」業務委嘱</v>
      </c>
      <c r="AN298" s="224">
        <f>VLOOKUP(AK298,'[3]17見直し計画'!$A$50:$AJ$584,10,0)</f>
        <v>38518</v>
      </c>
      <c r="AO298" s="205">
        <f>VLOOKUP(AK298,'[3]17見直し計画'!$A$50:$AJ$584,11,0)</f>
        <v>2342340</v>
      </c>
      <c r="AP298" s="204" t="str">
        <f>VLOOKUP(AK298,'[3]17見直し計画'!$A$50:$AJ$584,12,0)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98" s="204" t="str">
        <f>VLOOKUP(AK298,'[3]17見直し計画'!$A$50:$AJ$584,13,0)</f>
        <v>見直しの余地があるもの</v>
      </c>
      <c r="AR298" s="204" t="str">
        <f>VLOOKUP(AK298,'[3]17見直し計画'!$A$50:$AJ$584,14,0)</f>
        <v>企画招請を実施（１８年度以降も引き続き実施）</v>
      </c>
      <c r="AS298" s="204"/>
      <c r="AT298" s="204">
        <f>VLOOKUP(AK298,'[3]17見直し計画'!$A$50:$AJ$584,35,0)</f>
        <v>0</v>
      </c>
      <c r="AU298" s="204">
        <f>VLOOKUP(AK298,'[3]17見直し計画'!$A$50:$AJ$584,36,0)</f>
        <v>0</v>
      </c>
    </row>
    <row r="299" spans="1:48" ht="105" hidden="1" customHeight="1">
      <c r="B299" s="182"/>
      <c r="C299" s="182"/>
      <c r="D299" s="223" t="s">
        <v>752</v>
      </c>
      <c r="E299">
        <f t="shared" si="30"/>
        <v>213</v>
      </c>
      <c r="F299" s="185">
        <v>40</v>
      </c>
      <c r="G299" s="269">
        <v>40</v>
      </c>
      <c r="H299" s="270">
        <v>2200563</v>
      </c>
      <c r="I299" s="188"/>
      <c r="J299" s="188" t="s">
        <v>1283</v>
      </c>
      <c r="K299" s="201" t="s">
        <v>1085</v>
      </c>
      <c r="L299" s="271" t="s">
        <v>1163</v>
      </c>
      <c r="M299" s="188" t="s">
        <v>1284</v>
      </c>
      <c r="N299" s="190" t="s">
        <v>911</v>
      </c>
      <c r="O299" s="191" t="s">
        <v>688</v>
      </c>
      <c r="P299" s="189" t="s">
        <v>231</v>
      </c>
      <c r="Q299" s="272">
        <v>40</v>
      </c>
      <c r="R299" s="193" t="s">
        <v>1289</v>
      </c>
      <c r="S299" s="273" t="s">
        <v>125</v>
      </c>
      <c r="T299" s="274">
        <v>40318</v>
      </c>
      <c r="U299" s="196" t="s">
        <v>1339</v>
      </c>
      <c r="V299" s="197" t="s">
        <v>1340</v>
      </c>
      <c r="W299" s="193" t="s">
        <v>282</v>
      </c>
      <c r="X299" s="275">
        <v>3300000</v>
      </c>
      <c r="Y299" s="276">
        <v>2909200</v>
      </c>
      <c r="Z299" s="277">
        <f t="shared" si="29"/>
        <v>0.88100000000000001</v>
      </c>
      <c r="AA299" s="190"/>
      <c r="AB299" s="190" t="s">
        <v>1341</v>
      </c>
      <c r="AC299" s="190">
        <v>4</v>
      </c>
      <c r="AD299" s="190" t="s">
        <v>1168</v>
      </c>
      <c r="AE299" s="201"/>
      <c r="AF299" s="188"/>
      <c r="AG299" s="202" t="s">
        <v>131</v>
      </c>
      <c r="AH299" s="203" t="s">
        <v>238</v>
      </c>
      <c r="AI299" s="184"/>
      <c r="AJ299" s="182"/>
      <c r="AK299" s="182" t="s">
        <v>1292</v>
      </c>
      <c r="AL299" s="231" t="str">
        <f>VLOOKUP(AK299,'[3]17見直し計画'!$A$50:$AJ$584,6,0)</f>
        <v>財団法人ＰＨＤ協会</v>
      </c>
      <c r="AM299" s="204" t="str">
        <f>VLOOKUP(AK299,'[3]17見直し計画'!$A$50:$AJ$584,8,0)</f>
        <v>「ＮＧＯ相談員制度」業務委嘱</v>
      </c>
      <c r="AN299" s="224">
        <f>VLOOKUP(AK299,'[3]17見直し計画'!$A$50:$AJ$584,10,0)</f>
        <v>38518</v>
      </c>
      <c r="AO299" s="205">
        <f>VLOOKUP(AK299,'[3]17見直し計画'!$A$50:$AJ$584,11,0)</f>
        <v>2230800</v>
      </c>
      <c r="AP299" s="204" t="str">
        <f>VLOOKUP(AK299,'[3]17見直し計画'!$A$50:$AJ$584,12,0)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299" s="204" t="str">
        <f>VLOOKUP(AK299,'[3]17見直し計画'!$A$50:$AJ$584,13,0)</f>
        <v>見直しの余地があるもの</v>
      </c>
      <c r="AR299" s="204" t="str">
        <f>VLOOKUP(AK299,'[3]17見直し計画'!$A$50:$AJ$584,14,0)</f>
        <v>企画招請を実施（１８年度以降も引き続き実施）</v>
      </c>
      <c r="AS299" s="204"/>
      <c r="AT299" s="204">
        <f>VLOOKUP(AK299,'[3]17見直し計画'!$A$50:$AJ$584,35,0)</f>
        <v>0</v>
      </c>
      <c r="AU299" s="204">
        <f>VLOOKUP(AK299,'[3]17見直し計画'!$A$50:$AJ$584,36,0)</f>
        <v>0</v>
      </c>
    </row>
    <row r="300" spans="1:48" ht="105" hidden="1" customHeight="1">
      <c r="B300" s="182"/>
      <c r="C300" s="182"/>
      <c r="D300" s="223" t="s">
        <v>752</v>
      </c>
      <c r="E300">
        <f t="shared" si="30"/>
        <v>214</v>
      </c>
      <c r="F300" s="185">
        <v>41</v>
      </c>
      <c r="G300" s="269">
        <v>41</v>
      </c>
      <c r="H300" s="270">
        <v>2200563</v>
      </c>
      <c r="I300" s="188"/>
      <c r="J300" s="188" t="s">
        <v>1283</v>
      </c>
      <c r="K300" s="201" t="s">
        <v>1085</v>
      </c>
      <c r="L300" s="271" t="s">
        <v>1163</v>
      </c>
      <c r="M300" s="188" t="s">
        <v>1284</v>
      </c>
      <c r="N300" s="190" t="s">
        <v>230</v>
      </c>
      <c r="O300" s="191" t="s">
        <v>139</v>
      </c>
      <c r="P300" s="189" t="s">
        <v>231</v>
      </c>
      <c r="Q300" s="272">
        <v>41</v>
      </c>
      <c r="R300" s="193" t="s">
        <v>1342</v>
      </c>
      <c r="S300" s="273" t="s">
        <v>125</v>
      </c>
      <c r="T300" s="274">
        <v>40318</v>
      </c>
      <c r="U300" s="196" t="s">
        <v>1343</v>
      </c>
      <c r="V300" s="197" t="s">
        <v>1344</v>
      </c>
      <c r="W300" s="193" t="s">
        <v>282</v>
      </c>
      <c r="X300" s="275">
        <v>3300000</v>
      </c>
      <c r="Y300" s="276">
        <v>2376150</v>
      </c>
      <c r="Z300" s="277">
        <f t="shared" si="29"/>
        <v>0.72</v>
      </c>
      <c r="AA300" s="190"/>
      <c r="AB300" s="190"/>
      <c r="AC300" s="190">
        <v>2</v>
      </c>
      <c r="AD300" s="190" t="s">
        <v>427</v>
      </c>
      <c r="AE300" s="201"/>
      <c r="AF300" s="188"/>
      <c r="AG300" s="202" t="s">
        <v>131</v>
      </c>
      <c r="AH300" s="203" t="s">
        <v>428</v>
      </c>
      <c r="AI300" s="184"/>
      <c r="AJ300" s="182"/>
      <c r="AK300" s="182" t="s">
        <v>1323</v>
      </c>
      <c r="AL300" s="231" t="str">
        <f>VLOOKUP(AK300,'[3]17見直し計画'!$A$50:$AJ$584,6,0)</f>
        <v>特定非営利活動法人国際理解教育センター</v>
      </c>
      <c r="AM300" s="204" t="str">
        <f>VLOOKUP(AK300,'[3]17見直し計画'!$A$50:$AJ$584,8,0)</f>
        <v>「ＮＧＯ相談員制度」実施契約</v>
      </c>
      <c r="AN300" s="224">
        <f>VLOOKUP(AK300,'[3]17見直し計画'!$A$50:$AJ$584,10,0)</f>
        <v>38545</v>
      </c>
      <c r="AO300" s="205">
        <f>VLOOKUP(AK300,'[3]17見直し計画'!$A$50:$AJ$584,11,0)</f>
        <v>2022967</v>
      </c>
      <c r="AP300" s="204" t="str">
        <f>VLOOKUP(AK300,'[3]17見直し計画'!$A$50:$AJ$584,12,0)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300" s="204" t="str">
        <f>VLOOKUP(AK300,'[3]17見直し計画'!$A$50:$AJ$584,13,0)</f>
        <v>見直しの余地があるもの</v>
      </c>
      <c r="AR300" s="204" t="str">
        <f>VLOOKUP(AK300,'[3]17見直し計画'!$A$50:$AJ$584,14,0)</f>
        <v>企画招請を実施（１８年度以降も引き続き実施）</v>
      </c>
      <c r="AS300" s="204"/>
      <c r="AT300" s="204">
        <f>VLOOKUP(AK300,'[3]17見直し計画'!$A$50:$AJ$584,35,0)</f>
        <v>0</v>
      </c>
      <c r="AU300" s="204">
        <f>VLOOKUP(AK300,'[3]17見直し計画'!$A$50:$AJ$584,36,0)</f>
        <v>0</v>
      </c>
    </row>
    <row r="301" spans="1:48" ht="105" hidden="1" customHeight="1">
      <c r="A301" t="s">
        <v>633</v>
      </c>
      <c r="B301" s="291" t="s">
        <v>218</v>
      </c>
      <c r="C301" s="178" t="s">
        <v>135</v>
      </c>
      <c r="D301" s="143" t="s">
        <v>136</v>
      </c>
      <c r="E301">
        <f t="shared" si="30"/>
        <v>215</v>
      </c>
      <c r="F301" s="122">
        <v>42</v>
      </c>
      <c r="G301" s="259">
        <v>42</v>
      </c>
      <c r="H301" s="260">
        <v>2200634</v>
      </c>
      <c r="I301" s="238"/>
      <c r="J301" s="238" t="s">
        <v>1345</v>
      </c>
      <c r="K301" s="239" t="s">
        <v>501</v>
      </c>
      <c r="L301" s="261" t="s">
        <v>1202</v>
      </c>
      <c r="M301" s="238" t="s">
        <v>1346</v>
      </c>
      <c r="N301" s="127" t="s">
        <v>138</v>
      </c>
      <c r="O301" s="128" t="s">
        <v>139</v>
      </c>
      <c r="P301" s="126" t="s">
        <v>122</v>
      </c>
      <c r="Q301" s="262">
        <v>42</v>
      </c>
      <c r="R301" s="130" t="s">
        <v>1347</v>
      </c>
      <c r="S301" s="263" t="s">
        <v>125</v>
      </c>
      <c r="T301" s="264">
        <v>40319</v>
      </c>
      <c r="U301" s="133" t="s">
        <v>1348</v>
      </c>
      <c r="V301" s="134" t="s">
        <v>1206</v>
      </c>
      <c r="W301" s="130" t="s">
        <v>1349</v>
      </c>
      <c r="X301" s="265">
        <v>68160094</v>
      </c>
      <c r="Y301" s="281">
        <v>30188000</v>
      </c>
      <c r="Z301" s="267">
        <f t="shared" si="29"/>
        <v>0.442</v>
      </c>
      <c r="AA301" s="127"/>
      <c r="AB301" s="127" t="s">
        <v>1350</v>
      </c>
      <c r="AC301" s="127">
        <v>1</v>
      </c>
      <c r="AD301" s="127" t="s">
        <v>1152</v>
      </c>
      <c r="AE301" s="138"/>
      <c r="AF301" s="125"/>
      <c r="AG301" s="117" t="s">
        <v>131</v>
      </c>
      <c r="AH301" s="139" t="s">
        <v>171</v>
      </c>
      <c r="AI301" t="s">
        <v>156</v>
      </c>
      <c r="AJ301" s="120"/>
      <c r="AK301" s="120" t="s">
        <v>147</v>
      </c>
      <c r="AL301" s="232" t="str">
        <f>VLOOKUP(AK301,'[3]17見直し計画'!$A$50:$AJ$584,6,0)</f>
        <v>　見直し計画策定以降の新規案件</v>
      </c>
      <c r="AM301" s="140">
        <f>VLOOKUP(AK301,'[3]17見直し計画'!$A$50:$AJ$584,8,0)</f>
        <v>0</v>
      </c>
      <c r="AN301" s="180"/>
      <c r="AO301" s="141">
        <f>VLOOKUP(AK301,'[3]17見直し計画'!$A$50:$AJ$584,11,0)</f>
        <v>0</v>
      </c>
      <c r="AP301" s="140">
        <f>VLOOKUP(AK301,'[3]17見直し計画'!$A$50:$AJ$584,12,0)</f>
        <v>0</v>
      </c>
      <c r="AQ301" s="140">
        <f>VLOOKUP(AK301,'[3]17見直し計画'!$A$50:$AJ$584,13,0)</f>
        <v>0</v>
      </c>
      <c r="AR301" s="140">
        <f>VLOOKUP(AK301,'[3]17見直し計画'!$A$50:$AJ$584,14,0)</f>
        <v>0</v>
      </c>
      <c r="AS301" s="140"/>
      <c r="AT301" s="140">
        <f>VLOOKUP(AK301,'[3]17見直し計画'!$A$50:$AJ$584,35,0)</f>
        <v>0</v>
      </c>
      <c r="AU301" s="140">
        <f>VLOOKUP(AK301,'[3]17見直し計画'!$A$50:$AJ$584,36,0)</f>
        <v>0</v>
      </c>
    </row>
    <row r="302" spans="1:48" ht="105" hidden="1" customHeight="1">
      <c r="B302" s="182"/>
      <c r="C302" s="182"/>
      <c r="D302" s="223" t="s">
        <v>421</v>
      </c>
      <c r="E302">
        <f t="shared" si="30"/>
        <v>216</v>
      </c>
      <c r="F302" s="185">
        <v>43</v>
      </c>
      <c r="G302" s="269">
        <v>43</v>
      </c>
      <c r="H302" s="270">
        <v>2200523</v>
      </c>
      <c r="I302" s="188"/>
      <c r="J302" s="188" t="s">
        <v>1351</v>
      </c>
      <c r="K302" s="201" t="s">
        <v>258</v>
      </c>
      <c r="L302" s="271" t="s">
        <v>1163</v>
      </c>
      <c r="M302" s="188" t="s">
        <v>1352</v>
      </c>
      <c r="N302" s="190" t="s">
        <v>230</v>
      </c>
      <c r="O302" s="191" t="s">
        <v>139</v>
      </c>
      <c r="P302" s="189" t="s">
        <v>231</v>
      </c>
      <c r="Q302" s="272">
        <v>43</v>
      </c>
      <c r="R302" s="193" t="s">
        <v>1353</v>
      </c>
      <c r="S302" s="273" t="s">
        <v>125</v>
      </c>
      <c r="T302" s="274">
        <v>40319</v>
      </c>
      <c r="U302" s="196" t="s">
        <v>1354</v>
      </c>
      <c r="V302" s="197" t="s">
        <v>1355</v>
      </c>
      <c r="W302" s="193" t="s">
        <v>282</v>
      </c>
      <c r="X302" s="275">
        <v>7207000</v>
      </c>
      <c r="Y302" s="292">
        <v>7207000</v>
      </c>
      <c r="Z302" s="277">
        <f t="shared" si="29"/>
        <v>1</v>
      </c>
      <c r="AA302" s="190"/>
      <c r="AB302" s="190" t="s">
        <v>1356</v>
      </c>
      <c r="AC302" s="190">
        <v>1</v>
      </c>
      <c r="AD302" s="190" t="s">
        <v>631</v>
      </c>
      <c r="AE302" s="201"/>
      <c r="AF302" s="188"/>
      <c r="AG302" s="202" t="s">
        <v>131</v>
      </c>
      <c r="AH302" s="203" t="s">
        <v>171</v>
      </c>
      <c r="AI302" s="184"/>
      <c r="AJ302" s="182" t="s">
        <v>156</v>
      </c>
      <c r="AK302" s="182" t="s">
        <v>147</v>
      </c>
      <c r="AL302" s="231" t="str">
        <f>VLOOKUP(AK302,'[3]17見直し計画'!$A$50:$AJ$584,6,0)</f>
        <v>　見直し計画策定以降の新規案件</v>
      </c>
      <c r="AM302" s="204">
        <f>VLOOKUP(AK302,'[3]17見直し計画'!$A$50:$AJ$584,8,0)</f>
        <v>0</v>
      </c>
      <c r="AN302" s="224"/>
      <c r="AO302" s="205">
        <f>VLOOKUP(AK302,'[3]17見直し計画'!$A$50:$AJ$584,11,0)</f>
        <v>0</v>
      </c>
      <c r="AP302" s="204">
        <f>VLOOKUP(AK302,'[3]17見直し計画'!$A$50:$AJ$584,12,0)</f>
        <v>0</v>
      </c>
      <c r="AQ302" s="204">
        <f>VLOOKUP(AK302,'[3]17見直し計画'!$A$50:$AJ$584,13,0)</f>
        <v>0</v>
      </c>
      <c r="AR302" s="204">
        <f>VLOOKUP(AK302,'[3]17見直し計画'!$A$50:$AJ$584,14,0)</f>
        <v>0</v>
      </c>
      <c r="AS302" s="204"/>
      <c r="AT302" s="204">
        <f>VLOOKUP(AK302,'[3]17見直し計画'!$A$50:$AJ$584,35,0)</f>
        <v>0</v>
      </c>
      <c r="AU302" s="204">
        <f>VLOOKUP(AK302,'[3]17見直し計画'!$A$50:$AJ$584,36,0)</f>
        <v>0</v>
      </c>
      <c r="AV302" s="229"/>
    </row>
    <row r="303" spans="1:48" ht="105" hidden="1" customHeight="1">
      <c r="B303" s="182"/>
      <c r="C303" s="182"/>
      <c r="D303" s="223" t="s">
        <v>421</v>
      </c>
      <c r="E303">
        <f t="shared" si="30"/>
        <v>217</v>
      </c>
      <c r="F303" s="185">
        <v>44</v>
      </c>
      <c r="G303" s="269">
        <v>44</v>
      </c>
      <c r="H303" s="270">
        <v>2200573</v>
      </c>
      <c r="I303" s="188"/>
      <c r="J303" s="188" t="s">
        <v>1357</v>
      </c>
      <c r="K303" s="201" t="s">
        <v>1085</v>
      </c>
      <c r="L303" s="271" t="s">
        <v>1163</v>
      </c>
      <c r="M303" s="188" t="s">
        <v>1164</v>
      </c>
      <c r="N303" s="190" t="s">
        <v>230</v>
      </c>
      <c r="O303" s="191" t="s">
        <v>139</v>
      </c>
      <c r="P303" s="189" t="s">
        <v>231</v>
      </c>
      <c r="Q303" s="272">
        <v>44</v>
      </c>
      <c r="R303" s="193" t="s">
        <v>1358</v>
      </c>
      <c r="S303" s="273" t="s">
        <v>125</v>
      </c>
      <c r="T303" s="274">
        <v>40322</v>
      </c>
      <c r="U303" s="196" t="s">
        <v>1304</v>
      </c>
      <c r="V303" s="197" t="s">
        <v>1305</v>
      </c>
      <c r="W303" s="193" t="s">
        <v>282</v>
      </c>
      <c r="X303" s="275">
        <v>32322000</v>
      </c>
      <c r="Y303" s="276">
        <v>32321787</v>
      </c>
      <c r="Z303" s="277">
        <f t="shared" si="29"/>
        <v>0.999</v>
      </c>
      <c r="AA303" s="190">
        <v>0</v>
      </c>
      <c r="AB303" s="190"/>
      <c r="AC303" s="190">
        <v>1</v>
      </c>
      <c r="AD303" s="190" t="s">
        <v>631</v>
      </c>
      <c r="AE303" s="201"/>
      <c r="AF303" s="188"/>
      <c r="AG303" s="202" t="s">
        <v>131</v>
      </c>
      <c r="AH303" s="203" t="s">
        <v>171</v>
      </c>
      <c r="AI303" s="184"/>
      <c r="AJ303" s="182"/>
      <c r="AK303" s="182" t="s">
        <v>147</v>
      </c>
      <c r="AL303" s="231" t="str">
        <f>VLOOKUP(AK303,'[3]17見直し計画'!$A$50:$AJ$584,6,0)</f>
        <v>　見直し計画策定以降の新規案件</v>
      </c>
      <c r="AM303" s="204">
        <f>VLOOKUP(AK303,'[3]17見直し計画'!$A$50:$AJ$584,8,0)</f>
        <v>0</v>
      </c>
      <c r="AN303" s="224"/>
      <c r="AO303" s="205">
        <f>VLOOKUP(AK303,'[3]17見直し計画'!$A$50:$AJ$584,11,0)</f>
        <v>0</v>
      </c>
      <c r="AP303" s="204">
        <f>VLOOKUP(AK303,'[3]17見直し計画'!$A$50:$AJ$584,12,0)</f>
        <v>0</v>
      </c>
      <c r="AQ303" s="204">
        <f>VLOOKUP(AK303,'[3]17見直し計画'!$A$50:$AJ$584,13,0)</f>
        <v>0</v>
      </c>
      <c r="AR303" s="204">
        <f>VLOOKUP(AK303,'[3]17見直し計画'!$A$50:$AJ$584,14,0)</f>
        <v>0</v>
      </c>
      <c r="AS303" s="204"/>
      <c r="AT303" s="204">
        <f>VLOOKUP(AK303,'[3]17見直し計画'!$A$50:$AJ$584,35,0)</f>
        <v>0</v>
      </c>
      <c r="AU303" s="204">
        <f>VLOOKUP(AK303,'[3]17見直し計画'!$A$50:$AJ$584,36,0)</f>
        <v>0</v>
      </c>
    </row>
    <row r="304" spans="1:48" ht="105" hidden="1" customHeight="1">
      <c r="A304" t="s">
        <v>148</v>
      </c>
      <c r="B304" s="291" t="s">
        <v>218</v>
      </c>
      <c r="C304" s="178" t="s">
        <v>135</v>
      </c>
      <c r="D304" s="143" t="s">
        <v>136</v>
      </c>
      <c r="E304">
        <f t="shared" si="30"/>
        <v>218</v>
      </c>
      <c r="F304" s="122">
        <v>45</v>
      </c>
      <c r="G304" s="259">
        <v>45</v>
      </c>
      <c r="H304" s="260">
        <v>2200640</v>
      </c>
      <c r="I304" s="238"/>
      <c r="J304" s="238" t="s">
        <v>1359</v>
      </c>
      <c r="K304" s="239" t="s">
        <v>501</v>
      </c>
      <c r="L304" s="261" t="s">
        <v>1202</v>
      </c>
      <c r="M304" s="238" t="s">
        <v>1203</v>
      </c>
      <c r="N304" s="127" t="s">
        <v>138</v>
      </c>
      <c r="O304" s="128" t="s">
        <v>139</v>
      </c>
      <c r="P304" s="126" t="s">
        <v>122</v>
      </c>
      <c r="Q304" s="262">
        <v>45</v>
      </c>
      <c r="R304" s="130" t="s">
        <v>1360</v>
      </c>
      <c r="S304" s="263" t="s">
        <v>125</v>
      </c>
      <c r="T304" s="264">
        <v>40322</v>
      </c>
      <c r="U304" s="133" t="s">
        <v>1361</v>
      </c>
      <c r="V304" s="134" t="s">
        <v>1362</v>
      </c>
      <c r="W304" s="130" t="s">
        <v>1363</v>
      </c>
      <c r="X304" s="265">
        <v>3423525</v>
      </c>
      <c r="Y304" s="281">
        <v>1540586</v>
      </c>
      <c r="Z304" s="267">
        <f t="shared" si="29"/>
        <v>0.44900000000000001</v>
      </c>
      <c r="AA304" s="127"/>
      <c r="AB304" s="127" t="s">
        <v>1364</v>
      </c>
      <c r="AC304" s="127">
        <v>1</v>
      </c>
      <c r="AD304" s="127" t="s">
        <v>1152</v>
      </c>
      <c r="AE304" s="138"/>
      <c r="AF304" s="125"/>
      <c r="AG304" s="117" t="s">
        <v>131</v>
      </c>
      <c r="AH304" s="139" t="s">
        <v>171</v>
      </c>
      <c r="AI304" t="s">
        <v>156</v>
      </c>
      <c r="AJ304" s="120"/>
      <c r="AK304" s="120" t="s">
        <v>147</v>
      </c>
      <c r="AL304" s="232" t="str">
        <f>VLOOKUP(AK304,'[3]17見直し計画'!$A$50:$AJ$584,6,0)</f>
        <v>　見直し計画策定以降の新規案件</v>
      </c>
      <c r="AM304" s="140">
        <f>VLOOKUP(AK304,'[3]17見直し計画'!$A$50:$AJ$584,8,0)</f>
        <v>0</v>
      </c>
      <c r="AN304" s="180"/>
      <c r="AO304" s="141">
        <f>VLOOKUP(AK304,'[3]17見直し計画'!$A$50:$AJ$584,11,0)</f>
        <v>0</v>
      </c>
      <c r="AP304" s="140">
        <f>VLOOKUP(AK304,'[3]17見直し計画'!$A$50:$AJ$584,12,0)</f>
        <v>0</v>
      </c>
      <c r="AQ304" s="140">
        <f>VLOOKUP(AK304,'[3]17見直し計画'!$A$50:$AJ$584,13,0)</f>
        <v>0</v>
      </c>
      <c r="AR304" s="140">
        <f>VLOOKUP(AK304,'[3]17見直し計画'!$A$50:$AJ$584,14,0)</f>
        <v>0</v>
      </c>
      <c r="AS304" s="140"/>
      <c r="AT304" s="140">
        <f>VLOOKUP(AK304,'[3]17見直し計画'!$A$50:$AJ$584,35,0)</f>
        <v>0</v>
      </c>
      <c r="AU304" s="140">
        <f>VLOOKUP(AK304,'[3]17見直し計画'!$A$50:$AJ$584,36,0)</f>
        <v>0</v>
      </c>
    </row>
    <row r="305" spans="1:48" ht="105" hidden="1" customHeight="1">
      <c r="B305" s="182"/>
      <c r="C305" s="182"/>
      <c r="D305" s="223" t="s">
        <v>159</v>
      </c>
      <c r="E305">
        <f t="shared" si="30"/>
        <v>219</v>
      </c>
      <c r="F305" s="185">
        <v>46</v>
      </c>
      <c r="G305" s="269">
        <v>46</v>
      </c>
      <c r="H305" s="270">
        <v>2200406</v>
      </c>
      <c r="I305" s="188"/>
      <c r="J305" s="188" t="s">
        <v>1365</v>
      </c>
      <c r="K305" s="201" t="s">
        <v>746</v>
      </c>
      <c r="L305" s="271" t="s">
        <v>1163</v>
      </c>
      <c r="M305" s="188" t="s">
        <v>1164</v>
      </c>
      <c r="N305" s="190" t="s">
        <v>230</v>
      </c>
      <c r="O305" s="191" t="s">
        <v>139</v>
      </c>
      <c r="P305" s="189" t="s">
        <v>231</v>
      </c>
      <c r="Q305" s="272">
        <v>46</v>
      </c>
      <c r="R305" s="193" t="s">
        <v>1366</v>
      </c>
      <c r="S305" s="273" t="s">
        <v>125</v>
      </c>
      <c r="T305" s="274">
        <v>40322</v>
      </c>
      <c r="U305" s="196" t="s">
        <v>1367</v>
      </c>
      <c r="V305" s="197" t="s">
        <v>757</v>
      </c>
      <c r="W305" s="193" t="s">
        <v>282</v>
      </c>
      <c r="X305" s="275">
        <v>2860000</v>
      </c>
      <c r="Y305" s="276">
        <v>2715779</v>
      </c>
      <c r="Z305" s="277">
        <f t="shared" si="29"/>
        <v>0.94899999999999995</v>
      </c>
      <c r="AA305" s="190"/>
      <c r="AB305" s="190"/>
      <c r="AC305" s="190">
        <v>3</v>
      </c>
      <c r="AD305" s="190" t="s">
        <v>237</v>
      </c>
      <c r="AE305" s="201"/>
      <c r="AF305" s="188"/>
      <c r="AG305" s="202" t="s">
        <v>131</v>
      </c>
      <c r="AH305" s="203" t="s">
        <v>238</v>
      </c>
      <c r="AI305" s="184"/>
      <c r="AJ305" s="182"/>
      <c r="AK305" s="182" t="s">
        <v>1368</v>
      </c>
      <c r="AL305" s="231" t="str">
        <f>VLOOKUP(AK305,'[3]17見直し計画'!$A$50:$AJ$584,6,0)</f>
        <v>インターナショナル・エジュケーション・サービス株式会社</v>
      </c>
      <c r="AM305" s="204" t="str">
        <f>VLOOKUP(AK305,'[3]17見直し計画'!$A$50:$AJ$584,8,0)</f>
        <v>「入省初任英語研修」実施</v>
      </c>
      <c r="AN305" s="224">
        <f>VLOOKUP(AK305,'[3]17見直し計画'!$A$50:$AJ$584,10,0)</f>
        <v>38523</v>
      </c>
      <c r="AO305" s="205">
        <f>VLOOKUP(AK305,'[3]17見直し計画'!$A$50:$AJ$584,11,0)</f>
        <v>2820470</v>
      </c>
      <c r="AP305" s="204" t="str">
        <f>VLOOKUP(AK305,'[3]17見直し計画'!$A$50:$AJ$584,12,0)</f>
        <v>本件研修は２会計年度にまたがり実施されるため、研修の一貫性を保つため、前年度企画招請により業務委嘱した業者と引き続き契約を行うもの（会計法第２９条の３第４項）。</v>
      </c>
      <c r="AQ305" s="204" t="str">
        <f>VLOOKUP(AK305,'[3]17見直し計画'!$A$50:$AJ$584,13,0)</f>
        <v>見直しの余地があるもの</v>
      </c>
      <c r="AR305" s="204" t="str">
        <f>VLOOKUP(AK305,'[3]17見直し計画'!$A$50:$AJ$584,14,0)</f>
        <v>企画招請を実施（１９年度以降実施）</v>
      </c>
      <c r="AS305" s="204"/>
      <c r="AT305" s="204">
        <f>VLOOKUP(AK305,'[3]17見直し計画'!$A$50:$AJ$584,35,0)</f>
        <v>0</v>
      </c>
      <c r="AU305" s="204">
        <f>VLOOKUP(AK305,'[3]17見直し計画'!$A$50:$AJ$584,36,0)</f>
        <v>0</v>
      </c>
    </row>
    <row r="306" spans="1:48" ht="105" hidden="1" customHeight="1">
      <c r="B306" s="126" t="s">
        <v>134</v>
      </c>
      <c r="C306" s="120" t="s">
        <v>135</v>
      </c>
      <c r="D306" s="143" t="s">
        <v>136</v>
      </c>
      <c r="E306">
        <f t="shared" si="30"/>
        <v>220</v>
      </c>
      <c r="F306" s="122">
        <v>47</v>
      </c>
      <c r="G306" s="259">
        <v>47</v>
      </c>
      <c r="H306" s="260">
        <v>2200550</v>
      </c>
      <c r="I306" s="238"/>
      <c r="J306" s="238" t="s">
        <v>1369</v>
      </c>
      <c r="K306" s="239" t="s">
        <v>195</v>
      </c>
      <c r="L306" s="261" t="s">
        <v>1182</v>
      </c>
      <c r="M306" s="238" t="s">
        <v>1370</v>
      </c>
      <c r="N306" s="127" t="s">
        <v>138</v>
      </c>
      <c r="O306" s="128" t="s">
        <v>139</v>
      </c>
      <c r="P306" s="126" t="s">
        <v>122</v>
      </c>
      <c r="Q306" s="262">
        <v>47</v>
      </c>
      <c r="R306" s="130" t="s">
        <v>1371</v>
      </c>
      <c r="S306" s="263" t="s">
        <v>125</v>
      </c>
      <c r="T306" s="264">
        <v>40322</v>
      </c>
      <c r="U306" s="133" t="s">
        <v>1372</v>
      </c>
      <c r="V306" s="134" t="s">
        <v>469</v>
      </c>
      <c r="W306" s="130" t="s">
        <v>489</v>
      </c>
      <c r="X306" s="265">
        <v>2901368</v>
      </c>
      <c r="Y306" s="266">
        <v>2631224</v>
      </c>
      <c r="Z306" s="267">
        <f t="shared" si="29"/>
        <v>0.90600000000000003</v>
      </c>
      <c r="AA306" s="127"/>
      <c r="AB306" s="127"/>
      <c r="AC306" s="127">
        <v>1</v>
      </c>
      <c r="AD306" s="127" t="s">
        <v>1152</v>
      </c>
      <c r="AE306" s="138"/>
      <c r="AF306" s="125"/>
      <c r="AG306" s="117" t="s">
        <v>131</v>
      </c>
      <c r="AH306" s="139" t="s">
        <v>171</v>
      </c>
      <c r="AJ306" s="120"/>
      <c r="AK306" s="120" t="s">
        <v>147</v>
      </c>
      <c r="AL306" s="232" t="str">
        <f>VLOOKUP(AK306,'[3]17見直し計画'!$A$50:$AJ$584,6,0)</f>
        <v>　見直し計画策定以降の新規案件</v>
      </c>
      <c r="AM306" s="140">
        <f>VLOOKUP(AK306,'[3]17見直し計画'!$A$50:$AJ$584,8,0)</f>
        <v>0</v>
      </c>
      <c r="AN306" s="180"/>
      <c r="AO306" s="141">
        <f>VLOOKUP(AK306,'[3]17見直し計画'!$A$50:$AJ$584,11,0)</f>
        <v>0</v>
      </c>
      <c r="AP306" s="140">
        <f>VLOOKUP(AK306,'[3]17見直し計画'!$A$50:$AJ$584,12,0)</f>
        <v>0</v>
      </c>
      <c r="AQ306" s="140">
        <f>VLOOKUP(AK306,'[3]17見直し計画'!$A$50:$AJ$584,13,0)</f>
        <v>0</v>
      </c>
      <c r="AR306" s="140">
        <f>VLOOKUP(AK306,'[3]17見直し計画'!$A$50:$AJ$584,14,0)</f>
        <v>0</v>
      </c>
      <c r="AS306" s="140"/>
      <c r="AT306" s="140">
        <f>VLOOKUP(AK306,'[3]17見直し計画'!$A$50:$AJ$584,35,0)</f>
        <v>0</v>
      </c>
      <c r="AU306" s="140">
        <f>VLOOKUP(AK306,'[3]17見直し計画'!$A$50:$AJ$584,36,0)</f>
        <v>0</v>
      </c>
    </row>
    <row r="307" spans="1:48" ht="105" hidden="1" customHeight="1">
      <c r="B307" s="293"/>
      <c r="C307" s="293"/>
      <c r="D307" s="153" t="s">
        <v>421</v>
      </c>
      <c r="E307">
        <f t="shared" si="30"/>
        <v>221</v>
      </c>
      <c r="F307" s="294">
        <v>48</v>
      </c>
      <c r="G307" s="295">
        <v>48</v>
      </c>
      <c r="H307" s="296">
        <v>2200567</v>
      </c>
      <c r="I307" s="297"/>
      <c r="J307" s="297" t="s">
        <v>1373</v>
      </c>
      <c r="K307" s="298" t="s">
        <v>1374</v>
      </c>
      <c r="L307" s="299" t="s">
        <v>1190</v>
      </c>
      <c r="M307" s="297" t="s">
        <v>1223</v>
      </c>
      <c r="N307" s="300" t="s">
        <v>1375</v>
      </c>
      <c r="O307" s="301" t="s">
        <v>688</v>
      </c>
      <c r="P307" s="302" t="s">
        <v>163</v>
      </c>
      <c r="Q307" s="303">
        <v>48</v>
      </c>
      <c r="R307" s="304" t="s">
        <v>1376</v>
      </c>
      <c r="S307" s="305" t="s">
        <v>125</v>
      </c>
      <c r="T307" s="306">
        <v>40322</v>
      </c>
      <c r="U307" s="307" t="s">
        <v>1377</v>
      </c>
      <c r="V307" s="308" t="s">
        <v>1378</v>
      </c>
      <c r="W307" s="304" t="s">
        <v>1379</v>
      </c>
      <c r="X307" s="309">
        <v>1544180</v>
      </c>
      <c r="Y307" s="310">
        <v>1544180</v>
      </c>
      <c r="Z307" s="311">
        <f t="shared" si="29"/>
        <v>1</v>
      </c>
      <c r="AA307" s="300"/>
      <c r="AB307" s="300" t="s">
        <v>169</v>
      </c>
      <c r="AC307" s="300">
        <v>1</v>
      </c>
      <c r="AD307" s="300" t="s">
        <v>1380</v>
      </c>
      <c r="AE307" s="298"/>
      <c r="AF307" s="297"/>
      <c r="AG307" s="312" t="s">
        <v>131</v>
      </c>
      <c r="AH307" s="313" t="s">
        <v>171</v>
      </c>
      <c r="AI307" s="314"/>
      <c r="AJ307" s="293"/>
      <c r="AK307" s="293" t="s">
        <v>147</v>
      </c>
      <c r="AL307" s="315" t="str">
        <f>VLOOKUP(AK307,'[3]17見直し計画'!$A$50:$AJ$584,6,0)</f>
        <v>　見直し計画策定以降の新規案件</v>
      </c>
      <c r="AM307" s="316">
        <f>VLOOKUP(AK307,'[3]17見直し計画'!$A$50:$AJ$584,8,0)</f>
        <v>0</v>
      </c>
      <c r="AN307" s="317"/>
      <c r="AO307" s="318">
        <f>VLOOKUP(AK307,'[3]17見直し計画'!$A$50:$AJ$584,11,0)</f>
        <v>0</v>
      </c>
      <c r="AP307" s="316">
        <f>VLOOKUP(AK307,'[3]17見直し計画'!$A$50:$AJ$584,12,0)</f>
        <v>0</v>
      </c>
      <c r="AQ307" s="316">
        <f>VLOOKUP(AK307,'[3]17見直し計画'!$A$50:$AJ$584,13,0)</f>
        <v>0</v>
      </c>
      <c r="AR307" s="316">
        <f>VLOOKUP(AK307,'[3]17見直し計画'!$A$50:$AJ$584,14,0)</f>
        <v>0</v>
      </c>
      <c r="AS307" s="316"/>
      <c r="AT307" s="316">
        <f>VLOOKUP(AK307,'[3]17見直し計画'!$A$50:$AJ$584,35,0)</f>
        <v>0</v>
      </c>
      <c r="AU307" s="316">
        <f>VLOOKUP(AK307,'[3]17見直し計画'!$A$50:$AJ$584,36,0)</f>
        <v>0</v>
      </c>
    </row>
    <row r="308" spans="1:48" ht="105" hidden="1" customHeight="1">
      <c r="B308" s="182"/>
      <c r="C308" s="182"/>
      <c r="D308" s="223" t="s">
        <v>873</v>
      </c>
      <c r="E308">
        <f t="shared" si="30"/>
        <v>222</v>
      </c>
      <c r="F308" s="185">
        <v>49</v>
      </c>
      <c r="G308" s="269">
        <v>49</v>
      </c>
      <c r="H308" s="270">
        <v>2200467</v>
      </c>
      <c r="I308" s="188"/>
      <c r="J308" s="188"/>
      <c r="K308" s="201" t="s">
        <v>286</v>
      </c>
      <c r="L308" s="271" t="s">
        <v>1190</v>
      </c>
      <c r="M308" s="188" t="s">
        <v>1381</v>
      </c>
      <c r="N308" s="190" t="s">
        <v>230</v>
      </c>
      <c r="O308" s="191" t="s">
        <v>139</v>
      </c>
      <c r="P308" s="189" t="s">
        <v>231</v>
      </c>
      <c r="Q308" s="272">
        <v>49</v>
      </c>
      <c r="R308" s="193" t="s">
        <v>1382</v>
      </c>
      <c r="S308" s="273" t="s">
        <v>125</v>
      </c>
      <c r="T308" s="274">
        <v>40322</v>
      </c>
      <c r="U308" s="196" t="s">
        <v>1383</v>
      </c>
      <c r="V308" s="197" t="s">
        <v>1384</v>
      </c>
      <c r="W308" s="193" t="s">
        <v>1187</v>
      </c>
      <c r="X308" s="275" t="s">
        <v>129</v>
      </c>
      <c r="Y308" s="281">
        <v>25222123</v>
      </c>
      <c r="Z308" s="277" t="e">
        <f t="shared" si="29"/>
        <v>#VALUE!</v>
      </c>
      <c r="AA308" s="190"/>
      <c r="AB308" s="190" t="s">
        <v>986</v>
      </c>
      <c r="AC308" s="190">
        <v>5</v>
      </c>
      <c r="AD308" s="190" t="s">
        <v>237</v>
      </c>
      <c r="AE308" s="201"/>
      <c r="AF308" s="188"/>
      <c r="AG308" s="202" t="s">
        <v>131</v>
      </c>
      <c r="AH308" s="203" t="s">
        <v>238</v>
      </c>
      <c r="AI308" s="184"/>
      <c r="AJ308" s="182"/>
      <c r="AK308" s="182" t="s">
        <v>147</v>
      </c>
      <c r="AL308" s="231" t="str">
        <f>VLOOKUP(AK308,'[3]17見直し計画'!$A$50:$AJ$584,6,0)</f>
        <v>　見直し計画策定以降の新規案件</v>
      </c>
      <c r="AM308" s="204">
        <f>VLOOKUP(AK308,'[3]17見直し計画'!$A$50:$AJ$584,8,0)</f>
        <v>0</v>
      </c>
      <c r="AN308" s="224"/>
      <c r="AO308" s="205">
        <f>VLOOKUP(AK308,'[3]17見直し計画'!$A$50:$AJ$584,11,0)</f>
        <v>0</v>
      </c>
      <c r="AP308" s="204">
        <f>VLOOKUP(AK308,'[3]17見直し計画'!$A$50:$AJ$584,12,0)</f>
        <v>0</v>
      </c>
      <c r="AQ308" s="204">
        <f>VLOOKUP(AK308,'[3]17見直し計画'!$A$50:$AJ$584,13,0)</f>
        <v>0</v>
      </c>
      <c r="AR308" s="204">
        <f>VLOOKUP(AK308,'[3]17見直し計画'!$A$50:$AJ$584,14,0)</f>
        <v>0</v>
      </c>
      <c r="AS308" s="204"/>
      <c r="AT308" s="204">
        <f>VLOOKUP(AK308,'[3]17見直し計画'!$A$50:$AJ$584,35,0)</f>
        <v>0</v>
      </c>
      <c r="AU308" s="204">
        <f>VLOOKUP(AK308,'[3]17見直し計画'!$A$50:$AJ$584,36,0)</f>
        <v>0</v>
      </c>
    </row>
    <row r="309" spans="1:48" ht="107.25" hidden="1" customHeight="1">
      <c r="A309" t="s">
        <v>148</v>
      </c>
      <c r="B309" s="291" t="s">
        <v>218</v>
      </c>
      <c r="C309" s="178" t="s">
        <v>135</v>
      </c>
      <c r="D309" s="143" t="s">
        <v>136</v>
      </c>
      <c r="E309">
        <f t="shared" si="30"/>
        <v>223</v>
      </c>
      <c r="F309" s="122">
        <v>50</v>
      </c>
      <c r="G309" s="259">
        <v>50</v>
      </c>
      <c r="H309" s="260">
        <v>2200644</v>
      </c>
      <c r="I309" s="238"/>
      <c r="J309" s="238" t="s">
        <v>1385</v>
      </c>
      <c r="K309" s="239" t="s">
        <v>501</v>
      </c>
      <c r="L309" s="261" t="s">
        <v>1202</v>
      </c>
      <c r="M309" s="238" t="s">
        <v>1346</v>
      </c>
      <c r="N309" s="127" t="s">
        <v>138</v>
      </c>
      <c r="O309" s="128" t="s">
        <v>139</v>
      </c>
      <c r="P309" s="126" t="s">
        <v>122</v>
      </c>
      <c r="Q309" s="262">
        <v>50</v>
      </c>
      <c r="R309" s="130" t="s">
        <v>1386</v>
      </c>
      <c r="S309" s="263" t="s">
        <v>125</v>
      </c>
      <c r="T309" s="264">
        <v>40323</v>
      </c>
      <c r="U309" s="133" t="s">
        <v>1387</v>
      </c>
      <c r="V309" s="134" t="s">
        <v>1388</v>
      </c>
      <c r="W309" s="130" t="s">
        <v>1389</v>
      </c>
      <c r="X309" s="265" t="s">
        <v>129</v>
      </c>
      <c r="Y309" s="281">
        <v>600451</v>
      </c>
      <c r="Z309" s="267" t="e">
        <f t="shared" si="29"/>
        <v>#VALUE!</v>
      </c>
      <c r="AA309" s="127"/>
      <c r="AB309" s="127" t="s">
        <v>1390</v>
      </c>
      <c r="AC309" s="127">
        <v>1</v>
      </c>
      <c r="AD309" s="127" t="s">
        <v>1152</v>
      </c>
      <c r="AE309" s="138"/>
      <c r="AF309" s="125"/>
      <c r="AG309" s="117" t="s">
        <v>131</v>
      </c>
      <c r="AH309" s="139" t="s">
        <v>171</v>
      </c>
      <c r="AJ309" s="120"/>
      <c r="AK309" s="120" t="s">
        <v>147</v>
      </c>
      <c r="AL309" s="232" t="str">
        <f>VLOOKUP(AK309,'[3]17見直し計画'!$A$50:$AJ$584,6,0)</f>
        <v>　見直し計画策定以降の新規案件</v>
      </c>
      <c r="AM309" s="140">
        <f>VLOOKUP(AK309,'[3]17見直し計画'!$A$50:$AJ$584,8,0)</f>
        <v>0</v>
      </c>
      <c r="AN309" s="180"/>
      <c r="AO309" s="141">
        <f>VLOOKUP(AK309,'[3]17見直し計画'!$A$50:$AJ$584,11,0)</f>
        <v>0</v>
      </c>
      <c r="AP309" s="140">
        <f>VLOOKUP(AK309,'[3]17見直し計画'!$A$50:$AJ$584,12,0)</f>
        <v>0</v>
      </c>
      <c r="AQ309" s="140">
        <f>VLOOKUP(AK309,'[3]17見直し計画'!$A$50:$AJ$584,13,0)</f>
        <v>0</v>
      </c>
      <c r="AR309" s="140">
        <f>VLOOKUP(AK309,'[3]17見直し計画'!$A$50:$AJ$584,14,0)</f>
        <v>0</v>
      </c>
      <c r="AS309" s="140"/>
      <c r="AT309" s="140">
        <f>VLOOKUP(AK309,'[3]17見直し計画'!$A$50:$AJ$584,35,0)</f>
        <v>0</v>
      </c>
      <c r="AU309" s="140">
        <f>VLOOKUP(AK309,'[3]17見直し計画'!$A$50:$AJ$584,36,0)</f>
        <v>0</v>
      </c>
    </row>
    <row r="310" spans="1:48" ht="105" hidden="1" customHeight="1">
      <c r="A310" t="s">
        <v>633</v>
      </c>
      <c r="B310" s="291" t="s">
        <v>218</v>
      </c>
      <c r="C310" s="178" t="s">
        <v>135</v>
      </c>
      <c r="D310" s="143" t="s">
        <v>136</v>
      </c>
      <c r="E310">
        <f t="shared" si="30"/>
        <v>224</v>
      </c>
      <c r="F310" s="122">
        <v>51</v>
      </c>
      <c r="G310" s="259">
        <v>51</v>
      </c>
      <c r="H310" s="260">
        <v>2200645</v>
      </c>
      <c r="I310" s="238"/>
      <c r="J310" s="238" t="s">
        <v>1391</v>
      </c>
      <c r="K310" s="239" t="s">
        <v>501</v>
      </c>
      <c r="L310" s="261" t="s">
        <v>1202</v>
      </c>
      <c r="M310" s="238" t="s">
        <v>1346</v>
      </c>
      <c r="N310" s="127" t="s">
        <v>138</v>
      </c>
      <c r="O310" s="128" t="s">
        <v>139</v>
      </c>
      <c r="P310" s="126" t="s">
        <v>122</v>
      </c>
      <c r="Q310" s="262">
        <v>51</v>
      </c>
      <c r="R310" s="130" t="s">
        <v>1386</v>
      </c>
      <c r="S310" s="263" t="s">
        <v>125</v>
      </c>
      <c r="T310" s="264">
        <v>40323</v>
      </c>
      <c r="U310" s="133" t="s">
        <v>1392</v>
      </c>
      <c r="V310" s="134" t="s">
        <v>1393</v>
      </c>
      <c r="W310" s="130" t="s">
        <v>1394</v>
      </c>
      <c r="X310" s="265" t="s">
        <v>129</v>
      </c>
      <c r="Y310" s="281">
        <v>348284</v>
      </c>
      <c r="Z310" s="267" t="e">
        <f t="shared" si="29"/>
        <v>#VALUE!</v>
      </c>
      <c r="AA310" s="127"/>
      <c r="AB310" s="127" t="s">
        <v>1395</v>
      </c>
      <c r="AC310" s="127">
        <v>1</v>
      </c>
      <c r="AD310" s="127" t="s">
        <v>1152</v>
      </c>
      <c r="AE310" s="138"/>
      <c r="AF310" s="125"/>
      <c r="AG310" s="117" t="s">
        <v>131</v>
      </c>
      <c r="AH310" s="139" t="s">
        <v>171</v>
      </c>
      <c r="AJ310" s="120"/>
      <c r="AK310" s="120" t="s">
        <v>147</v>
      </c>
      <c r="AL310" s="232" t="str">
        <f>VLOOKUP(AK310,'[3]17見直し計画'!$A$50:$AJ$584,6,0)</f>
        <v>　見直し計画策定以降の新規案件</v>
      </c>
      <c r="AM310" s="140">
        <f>VLOOKUP(AK310,'[3]17見直し計画'!$A$50:$AJ$584,8,0)</f>
        <v>0</v>
      </c>
      <c r="AN310" s="180"/>
      <c r="AO310" s="141">
        <f>VLOOKUP(AK310,'[3]17見直し計画'!$A$50:$AJ$584,11,0)</f>
        <v>0</v>
      </c>
      <c r="AP310" s="140">
        <f>VLOOKUP(AK310,'[3]17見直し計画'!$A$50:$AJ$584,12,0)</f>
        <v>0</v>
      </c>
      <c r="AQ310" s="140">
        <f>VLOOKUP(AK310,'[3]17見直し計画'!$A$50:$AJ$584,13,0)</f>
        <v>0</v>
      </c>
      <c r="AR310" s="140">
        <f>VLOOKUP(AK310,'[3]17見直し計画'!$A$50:$AJ$584,14,0)</f>
        <v>0</v>
      </c>
      <c r="AS310" s="140"/>
      <c r="AT310" s="140">
        <f>VLOOKUP(AK310,'[3]17見直し計画'!$A$50:$AJ$584,35,0)</f>
        <v>0</v>
      </c>
      <c r="AU310" s="140">
        <f>VLOOKUP(AK310,'[3]17見直し計画'!$A$50:$AJ$584,36,0)</f>
        <v>0</v>
      </c>
    </row>
    <row r="311" spans="1:48" ht="105" hidden="1" customHeight="1">
      <c r="B311" s="126" t="s">
        <v>218</v>
      </c>
      <c r="C311" s="120" t="s">
        <v>135</v>
      </c>
      <c r="D311" s="143" t="s">
        <v>136</v>
      </c>
      <c r="E311">
        <f t="shared" si="30"/>
        <v>225</v>
      </c>
      <c r="F311" s="122">
        <v>52</v>
      </c>
      <c r="G311" s="259">
        <v>52</v>
      </c>
      <c r="H311" s="260">
        <v>2200578</v>
      </c>
      <c r="I311" s="238"/>
      <c r="J311" s="238" t="s">
        <v>1396</v>
      </c>
      <c r="K311" s="239" t="s">
        <v>1397</v>
      </c>
      <c r="L311" s="261" t="s">
        <v>1163</v>
      </c>
      <c r="M311" s="238" t="s">
        <v>1164</v>
      </c>
      <c r="N311" s="127" t="s">
        <v>138</v>
      </c>
      <c r="O311" s="128" t="s">
        <v>139</v>
      </c>
      <c r="P311" s="126" t="s">
        <v>122</v>
      </c>
      <c r="Q311" s="262">
        <v>52</v>
      </c>
      <c r="R311" s="130" t="s">
        <v>1398</v>
      </c>
      <c r="S311" s="263" t="s">
        <v>125</v>
      </c>
      <c r="T311" s="264">
        <v>40324</v>
      </c>
      <c r="U311" s="133" t="s">
        <v>1399</v>
      </c>
      <c r="V311" s="134" t="s">
        <v>1400</v>
      </c>
      <c r="W311" s="130" t="s">
        <v>1401</v>
      </c>
      <c r="X311" s="265">
        <v>4774200</v>
      </c>
      <c r="Y311" s="266">
        <v>4774200</v>
      </c>
      <c r="Z311" s="267">
        <f t="shared" si="29"/>
        <v>1</v>
      </c>
      <c r="AA311" s="127"/>
      <c r="AB311" s="127"/>
      <c r="AC311" s="127">
        <v>1</v>
      </c>
      <c r="AD311" s="127" t="s">
        <v>1152</v>
      </c>
      <c r="AE311" s="138"/>
      <c r="AF311" s="125"/>
      <c r="AG311" s="117" t="s">
        <v>131</v>
      </c>
      <c r="AH311" s="139" t="s">
        <v>171</v>
      </c>
      <c r="AJ311" s="120"/>
      <c r="AK311" s="120" t="s">
        <v>147</v>
      </c>
      <c r="AL311" s="232" t="str">
        <f>VLOOKUP(AK311,'[3]17見直し計画'!$A$50:$AJ$584,6,0)</f>
        <v>　見直し計画策定以降の新規案件</v>
      </c>
      <c r="AM311" s="140">
        <f>VLOOKUP(AK311,'[3]17見直し計画'!$A$50:$AJ$584,8,0)</f>
        <v>0</v>
      </c>
      <c r="AN311" s="180"/>
      <c r="AO311" s="141">
        <f>VLOOKUP(AK311,'[3]17見直し計画'!$A$50:$AJ$584,11,0)</f>
        <v>0</v>
      </c>
      <c r="AP311" s="140">
        <f>VLOOKUP(AK311,'[3]17見直し計画'!$A$50:$AJ$584,12,0)</f>
        <v>0</v>
      </c>
      <c r="AQ311" s="140">
        <f>VLOOKUP(AK311,'[3]17見直し計画'!$A$50:$AJ$584,13,0)</f>
        <v>0</v>
      </c>
      <c r="AR311" s="140">
        <f>VLOOKUP(AK311,'[3]17見直し計画'!$A$50:$AJ$584,14,0)</f>
        <v>0</v>
      </c>
      <c r="AS311" s="140"/>
      <c r="AT311" s="140">
        <f>VLOOKUP(AK311,'[3]17見直し計画'!$A$50:$AJ$584,35,0)</f>
        <v>0</v>
      </c>
      <c r="AU311" s="140">
        <f>VLOOKUP(AK311,'[3]17見直し計画'!$A$50:$AJ$584,36,0)</f>
        <v>0</v>
      </c>
    </row>
    <row r="312" spans="1:48" ht="105" hidden="1" customHeight="1">
      <c r="B312" s="152"/>
      <c r="C312" s="152"/>
      <c r="D312" s="234" t="s">
        <v>118</v>
      </c>
      <c r="E312">
        <f t="shared" si="30"/>
        <v>226</v>
      </c>
      <c r="F312" s="155">
        <v>53</v>
      </c>
      <c r="G312" s="282">
        <v>53</v>
      </c>
      <c r="H312" s="283">
        <v>2200568</v>
      </c>
      <c r="I312" s="158"/>
      <c r="J312" s="158" t="s">
        <v>1402</v>
      </c>
      <c r="K312" s="171" t="s">
        <v>661</v>
      </c>
      <c r="L312" s="284" t="s">
        <v>1190</v>
      </c>
      <c r="M312" s="158" t="s">
        <v>1223</v>
      </c>
      <c r="N312" s="160" t="s">
        <v>162</v>
      </c>
      <c r="O312" s="161" t="s">
        <v>121</v>
      </c>
      <c r="P312" s="159" t="s">
        <v>163</v>
      </c>
      <c r="Q312" s="285">
        <v>53</v>
      </c>
      <c r="R312" s="163" t="s">
        <v>1275</v>
      </c>
      <c r="S312" s="286" t="s">
        <v>125</v>
      </c>
      <c r="T312" s="287">
        <v>40325</v>
      </c>
      <c r="U312" s="166" t="s">
        <v>1093</v>
      </c>
      <c r="V312" s="167" t="s">
        <v>1403</v>
      </c>
      <c r="W312" s="163" t="s">
        <v>1404</v>
      </c>
      <c r="X312" s="288">
        <v>14296245</v>
      </c>
      <c r="Y312" s="289">
        <v>14296245</v>
      </c>
      <c r="Z312" s="290">
        <f t="shared" si="29"/>
        <v>1</v>
      </c>
      <c r="AA312" s="160">
        <v>0</v>
      </c>
      <c r="AB312" s="160" t="s">
        <v>169</v>
      </c>
      <c r="AC312" s="160">
        <v>1</v>
      </c>
      <c r="AD312" s="160" t="s">
        <v>170</v>
      </c>
      <c r="AE312" s="171"/>
      <c r="AF312" s="158"/>
      <c r="AG312" s="172" t="s">
        <v>131</v>
      </c>
      <c r="AH312" s="173" t="s">
        <v>171</v>
      </c>
      <c r="AI312" s="154"/>
      <c r="AJ312" s="152"/>
      <c r="AK312" s="152" t="s">
        <v>1278</v>
      </c>
      <c r="AL312" s="233" t="str">
        <f>VLOOKUP(AK312,'[3]17見直し計画'!$A$50:$AJ$584,6,0)</f>
        <v>北方四島交流北海道推進委員会</v>
      </c>
      <c r="AM312" s="174" t="str">
        <f>VLOOKUP(AK312,'[3]17見直し計画'!$A$50:$AJ$584,8,0)</f>
        <v>「北方四島住民招へい事業」委嘱</v>
      </c>
      <c r="AN312" s="225">
        <f>VLOOKUP(AK312,'[3]17見直し計画'!$A$50:$AJ$584,10,0)</f>
        <v>38553</v>
      </c>
      <c r="AO312" s="175">
        <f>VLOOKUP(AK312,'[3]17見直し計画'!$A$50:$AJ$584,11,0)</f>
        <v>8711881</v>
      </c>
      <c r="AP312" s="174" t="str">
        <f>VLOOKUP(AK312,'[3]17見直し計画'!$A$50:$AJ$584,12,0)</f>
        <v>契約相手先は北海道内における四島交流事業を実施するため、北海道庁を始め地元根室管内の自治体、北方領土返還運動団体が構成団体となり設立した団体である。四島在住ロシア人を招聘する北海道受け入れ事業が円滑に行われるためには北海道全体として同事業に取り組む事が必要であるが、かかる事業が実施可能な団体は他に存在しない。従って本事業は当該団体と協力して実施することが政策上不可欠である（会計法第２９条の３第４項）。</v>
      </c>
      <c r="AQ312" s="174" t="str">
        <f>VLOOKUP(AK312,'[3]17見直し計画'!$A$50:$AJ$584,13,0)</f>
        <v>その他のもの</v>
      </c>
      <c r="AR312" s="174" t="str">
        <f>VLOOKUP(AK312,'[3]17見直し計画'!$A$50:$AJ$584,14,0)</f>
        <v>随意契約によらざるを得ないもの</v>
      </c>
      <c r="AS312" s="174"/>
      <c r="AT312" s="174">
        <f>VLOOKUP(AK312,'[3]17見直し計画'!$A$50:$AJ$584,35,0)</f>
        <v>0</v>
      </c>
      <c r="AU312" s="174">
        <f>VLOOKUP(AK312,'[3]17見直し計画'!$A$50:$AJ$584,36,0)</f>
        <v>0</v>
      </c>
    </row>
    <row r="313" spans="1:48" ht="105" hidden="1" customHeight="1">
      <c r="A313" t="s">
        <v>148</v>
      </c>
      <c r="B313" s="143" t="s">
        <v>1405</v>
      </c>
      <c r="C313" s="319" t="s">
        <v>246</v>
      </c>
      <c r="D313" s="143" t="s">
        <v>136</v>
      </c>
      <c r="E313">
        <f t="shared" si="30"/>
        <v>227</v>
      </c>
      <c r="F313" s="122">
        <v>54</v>
      </c>
      <c r="G313" s="259">
        <v>54</v>
      </c>
      <c r="H313" s="260">
        <v>2200566</v>
      </c>
      <c r="I313" s="238"/>
      <c r="J313" s="239" t="s">
        <v>1406</v>
      </c>
      <c r="K313" s="239" t="s">
        <v>137</v>
      </c>
      <c r="L313" s="261" t="s">
        <v>1182</v>
      </c>
      <c r="M313" s="238" t="s">
        <v>1263</v>
      </c>
      <c r="N313" s="127" t="s">
        <v>186</v>
      </c>
      <c r="O313" s="128" t="s">
        <v>187</v>
      </c>
      <c r="P313" s="126" t="s">
        <v>122</v>
      </c>
      <c r="Q313" s="262">
        <v>54</v>
      </c>
      <c r="R313" s="130" t="s">
        <v>526</v>
      </c>
      <c r="S313" s="263" t="s">
        <v>125</v>
      </c>
      <c r="T313" s="264">
        <v>40325</v>
      </c>
      <c r="U313" s="133" t="s">
        <v>190</v>
      </c>
      <c r="V313" s="134" t="s">
        <v>143</v>
      </c>
      <c r="W313" s="130" t="s">
        <v>1407</v>
      </c>
      <c r="X313" s="265">
        <v>2015293</v>
      </c>
      <c r="Y313" s="266">
        <v>2015293</v>
      </c>
      <c r="Z313" s="267">
        <f t="shared" si="29"/>
        <v>1</v>
      </c>
      <c r="AA313" s="127"/>
      <c r="AB313" s="127"/>
      <c r="AC313" s="127">
        <v>1</v>
      </c>
      <c r="AD313" s="127" t="s">
        <v>1408</v>
      </c>
      <c r="AE313" s="138"/>
      <c r="AF313" s="125"/>
      <c r="AG313" s="117" t="s">
        <v>131</v>
      </c>
      <c r="AH313" s="139" t="s">
        <v>171</v>
      </c>
      <c r="AJ313" s="320" t="s">
        <v>1409</v>
      </c>
      <c r="AK313" s="120" t="s">
        <v>1410</v>
      </c>
      <c r="AL313" s="232" t="str">
        <f>VLOOKUP(AK313,'[3]17見直し計画'!$A$50:$AJ$584,6,0)</f>
        <v>株式会社東芝</v>
      </c>
      <c r="AM313" s="140" t="str">
        <f>VLOOKUP(AK313,'[3]17見直し計画'!$A$50:$AJ$584,8,0)</f>
        <v>旅券申請書画像ファイリングサーバー据付、賃貸借及び保守料（平成１６年度導入分）</v>
      </c>
      <c r="AN313" s="180">
        <f>VLOOKUP(AK313,'[3]17見直し計画'!$A$50:$AJ$584,10,0)</f>
        <v>38443</v>
      </c>
      <c r="AO313" s="141">
        <f>VLOOKUP(AK313,'[3]17見直し計画'!$A$50:$AJ$584,11,0)</f>
        <v>12205116</v>
      </c>
      <c r="AP313" s="140" t="str">
        <f>VLOOKUP(AK313,'[3]17見直し計画'!$A$50:$AJ$584,12,0)</f>
        <v>平成１６年度に一般競争入札（賃貸期間平成２１年５月３１日まで。但し契約自体は単年度）で導入したサーバ機器の継続契約（会計法第２９条の３第４項、特例政令に該当）。</v>
      </c>
      <c r="AQ313" s="140" t="str">
        <f>VLOOKUP(AK313,'[3]17見直し計画'!$A$50:$AJ$584,13,0)</f>
        <v>見直しの余地があるもの</v>
      </c>
      <c r="AR313" s="140" t="str">
        <f>VLOOKUP(AK313,'[3]17見直し計画'!$A$50:$AJ$584,14,0)</f>
        <v>競争入札へ移行（平成２１年実施予定）</v>
      </c>
      <c r="AS313" s="140"/>
      <c r="AT313" s="140" t="str">
        <f>VLOOKUP(AK313,'[3]17見直し計画'!$A$50:$AJ$584,35,0)</f>
        <v>(H21.1月26日調査回答）
平成21年度中にリース期限切れとなるため、平成21年度に一般競争入札により更新予定。</v>
      </c>
      <c r="AU313" s="140" t="str">
        <f>VLOOKUP(AK313,'[3]17見直し計画'!$A$50:$AJ$584,36,0)</f>
        <v>(H21.1月26日調査回答）
平成21年度</v>
      </c>
      <c r="AV313" t="s">
        <v>148</v>
      </c>
    </row>
    <row r="314" spans="1:48" ht="105" hidden="1" customHeight="1">
      <c r="A314" t="s">
        <v>148</v>
      </c>
      <c r="B314" s="291" t="s">
        <v>218</v>
      </c>
      <c r="C314" s="178" t="s">
        <v>135</v>
      </c>
      <c r="D314" s="143" t="s">
        <v>136</v>
      </c>
      <c r="E314">
        <f t="shared" si="30"/>
        <v>228</v>
      </c>
      <c r="F314" s="122">
        <v>55</v>
      </c>
      <c r="G314" s="259">
        <v>55</v>
      </c>
      <c r="H314" s="260">
        <v>2200650</v>
      </c>
      <c r="I314" s="238"/>
      <c r="J314" s="238" t="s">
        <v>1411</v>
      </c>
      <c r="K314" s="239" t="s">
        <v>501</v>
      </c>
      <c r="L314" s="261" t="s">
        <v>1202</v>
      </c>
      <c r="M314" s="238" t="s">
        <v>1346</v>
      </c>
      <c r="N314" s="127" t="s">
        <v>138</v>
      </c>
      <c r="O314" s="128" t="s">
        <v>139</v>
      </c>
      <c r="P314" s="126" t="s">
        <v>122</v>
      </c>
      <c r="Q314" s="262">
        <v>55</v>
      </c>
      <c r="R314" s="130" t="s">
        <v>1412</v>
      </c>
      <c r="S314" s="263" t="s">
        <v>125</v>
      </c>
      <c r="T314" s="264">
        <v>40326</v>
      </c>
      <c r="U314" s="133" t="s">
        <v>1413</v>
      </c>
      <c r="V314" s="134" t="s">
        <v>1414</v>
      </c>
      <c r="W314" s="130" t="s">
        <v>1415</v>
      </c>
      <c r="X314" s="265">
        <v>35571120</v>
      </c>
      <c r="Y314" s="281">
        <v>17675200</v>
      </c>
      <c r="Z314" s="267">
        <f t="shared" si="29"/>
        <v>0.496</v>
      </c>
      <c r="AA314" s="127"/>
      <c r="AB314" s="127" t="s">
        <v>1416</v>
      </c>
      <c r="AC314" s="127">
        <v>1</v>
      </c>
      <c r="AD314" s="127" t="s">
        <v>1152</v>
      </c>
      <c r="AE314" s="138"/>
      <c r="AF314" s="125"/>
      <c r="AG314" s="117" t="s">
        <v>131</v>
      </c>
      <c r="AH314" s="139" t="s">
        <v>171</v>
      </c>
      <c r="AI314" t="s">
        <v>156</v>
      </c>
      <c r="AJ314" s="120"/>
      <c r="AK314" s="120" t="s">
        <v>147</v>
      </c>
      <c r="AL314" s="232" t="str">
        <f>VLOOKUP(AK314,'[3]17見直し計画'!$A$50:$AJ$584,6,0)</f>
        <v>　見直し計画策定以降の新規案件</v>
      </c>
      <c r="AM314" s="140">
        <f>VLOOKUP(AK314,'[3]17見直し計画'!$A$50:$AJ$584,8,0)</f>
        <v>0</v>
      </c>
      <c r="AN314" s="180"/>
      <c r="AO314" s="141">
        <f>VLOOKUP(AK314,'[3]17見直し計画'!$A$50:$AJ$584,11,0)</f>
        <v>0</v>
      </c>
      <c r="AP314" s="140">
        <f>VLOOKUP(AK314,'[3]17見直し計画'!$A$50:$AJ$584,12,0)</f>
        <v>0</v>
      </c>
      <c r="AQ314" s="140">
        <f>VLOOKUP(AK314,'[3]17見直し計画'!$A$50:$AJ$584,13,0)</f>
        <v>0</v>
      </c>
      <c r="AR314" s="140">
        <f>VLOOKUP(AK314,'[3]17見直し計画'!$A$50:$AJ$584,14,0)</f>
        <v>0</v>
      </c>
      <c r="AS314" s="140"/>
      <c r="AT314" s="140">
        <f>VLOOKUP(AK314,'[3]17見直し計画'!$A$50:$AJ$584,35,0)</f>
        <v>0</v>
      </c>
      <c r="AU314" s="140">
        <f>VLOOKUP(AK314,'[3]17見直し計画'!$A$50:$AJ$584,36,0)</f>
        <v>0</v>
      </c>
    </row>
    <row r="315" spans="1:48" ht="105" hidden="1" customHeight="1">
      <c r="A315" t="s">
        <v>148</v>
      </c>
      <c r="B315" s="291" t="s">
        <v>218</v>
      </c>
      <c r="C315" s="178" t="s">
        <v>135</v>
      </c>
      <c r="D315" s="143" t="s">
        <v>136</v>
      </c>
      <c r="E315">
        <f t="shared" si="30"/>
        <v>229</v>
      </c>
      <c r="F315" s="122">
        <v>56</v>
      </c>
      <c r="G315" s="259">
        <v>56</v>
      </c>
      <c r="H315" s="260">
        <v>2200641</v>
      </c>
      <c r="I315" s="238"/>
      <c r="J315" s="238" t="s">
        <v>1417</v>
      </c>
      <c r="K315" s="239" t="s">
        <v>501</v>
      </c>
      <c r="L315" s="261" t="s">
        <v>1202</v>
      </c>
      <c r="M315" s="238" t="s">
        <v>1346</v>
      </c>
      <c r="N315" s="127" t="s">
        <v>138</v>
      </c>
      <c r="O315" s="128" t="s">
        <v>139</v>
      </c>
      <c r="P315" s="126" t="s">
        <v>122</v>
      </c>
      <c r="Q315" s="262">
        <v>56</v>
      </c>
      <c r="R315" s="130" t="s">
        <v>1418</v>
      </c>
      <c r="S315" s="263" t="s">
        <v>125</v>
      </c>
      <c r="T315" s="264">
        <v>40326</v>
      </c>
      <c r="U315" s="133" t="s">
        <v>1392</v>
      </c>
      <c r="V315" s="134" t="s">
        <v>1393</v>
      </c>
      <c r="W315" s="130" t="s">
        <v>1415</v>
      </c>
      <c r="X315" s="265">
        <v>3839640</v>
      </c>
      <c r="Y315" s="266">
        <v>3839640</v>
      </c>
      <c r="Z315" s="267">
        <f t="shared" si="29"/>
        <v>1</v>
      </c>
      <c r="AA315" s="127"/>
      <c r="AB315" s="127"/>
      <c r="AC315" s="127">
        <v>1</v>
      </c>
      <c r="AD315" s="127" t="s">
        <v>1152</v>
      </c>
      <c r="AE315" s="138"/>
      <c r="AF315" s="125"/>
      <c r="AG315" s="117" t="s">
        <v>131</v>
      </c>
      <c r="AH315" s="139" t="s">
        <v>171</v>
      </c>
      <c r="AJ315" s="120"/>
      <c r="AK315" s="120" t="s">
        <v>147</v>
      </c>
      <c r="AL315" s="232" t="str">
        <f>VLOOKUP(AK315,'[3]17見直し計画'!$A$50:$AJ$584,6,0)</f>
        <v>　見直し計画策定以降の新規案件</v>
      </c>
      <c r="AM315" s="140">
        <f>VLOOKUP(AK315,'[3]17見直し計画'!$A$50:$AJ$584,8,0)</f>
        <v>0</v>
      </c>
      <c r="AN315" s="180"/>
      <c r="AO315" s="141">
        <f>VLOOKUP(AK315,'[3]17見直し計画'!$A$50:$AJ$584,11,0)</f>
        <v>0</v>
      </c>
      <c r="AP315" s="140">
        <f>VLOOKUP(AK315,'[3]17見直し計画'!$A$50:$AJ$584,12,0)</f>
        <v>0</v>
      </c>
      <c r="AQ315" s="140">
        <f>VLOOKUP(AK315,'[3]17見直し計画'!$A$50:$AJ$584,13,0)</f>
        <v>0</v>
      </c>
      <c r="AR315" s="140">
        <f>VLOOKUP(AK315,'[3]17見直し計画'!$A$50:$AJ$584,14,0)</f>
        <v>0</v>
      </c>
      <c r="AS315" s="140"/>
      <c r="AT315" s="140">
        <f>VLOOKUP(AK315,'[3]17見直し計画'!$A$50:$AJ$584,35,0)</f>
        <v>0</v>
      </c>
      <c r="AU315" s="140">
        <f>VLOOKUP(AK315,'[3]17見直し計画'!$A$50:$AJ$584,36,0)</f>
        <v>0</v>
      </c>
    </row>
    <row r="316" spans="1:48" ht="105" customHeight="1">
      <c r="B316" s="143" t="s">
        <v>476</v>
      </c>
      <c r="C316" s="143" t="s">
        <v>550</v>
      </c>
      <c r="D316" s="143" t="s">
        <v>351</v>
      </c>
      <c r="E316">
        <f t="shared" si="30"/>
        <v>230</v>
      </c>
      <c r="F316" s="122">
        <v>57</v>
      </c>
      <c r="G316" s="259">
        <v>57</v>
      </c>
      <c r="H316" s="260">
        <v>2200479</v>
      </c>
      <c r="I316" s="238"/>
      <c r="J316" s="238" t="s">
        <v>1419</v>
      </c>
      <c r="K316" s="239" t="s">
        <v>1162</v>
      </c>
      <c r="L316" s="261" t="s">
        <v>1163</v>
      </c>
      <c r="M316" s="238" t="s">
        <v>1164</v>
      </c>
      <c r="N316" s="127" t="s">
        <v>138</v>
      </c>
      <c r="O316" s="128" t="s">
        <v>139</v>
      </c>
      <c r="P316" s="126" t="s">
        <v>122</v>
      </c>
      <c r="Q316" s="262">
        <v>57</v>
      </c>
      <c r="R316" s="130" t="s">
        <v>1420</v>
      </c>
      <c r="S316" s="263" t="s">
        <v>125</v>
      </c>
      <c r="T316" s="264">
        <v>40326</v>
      </c>
      <c r="U316" s="133" t="s">
        <v>1421</v>
      </c>
      <c r="V316" s="134" t="s">
        <v>1422</v>
      </c>
      <c r="W316" s="130" t="s">
        <v>1423</v>
      </c>
      <c r="X316" s="265">
        <v>3666272</v>
      </c>
      <c r="Y316" s="266">
        <v>3666272</v>
      </c>
      <c r="Z316" s="267">
        <f t="shared" si="29"/>
        <v>1</v>
      </c>
      <c r="AA316" s="127"/>
      <c r="AB316" s="127"/>
      <c r="AC316" s="127">
        <v>1</v>
      </c>
      <c r="AD316" s="127" t="s">
        <v>1152</v>
      </c>
      <c r="AE316" s="138"/>
      <c r="AF316" s="125"/>
      <c r="AG316" s="117" t="s">
        <v>131</v>
      </c>
      <c r="AH316" s="139" t="s">
        <v>171</v>
      </c>
      <c r="AJ316" s="120"/>
      <c r="AK316" s="120" t="s">
        <v>1174</v>
      </c>
      <c r="AL316" s="232" t="str">
        <f>VLOOKUP(AK316,'[3]17見直し計画'!$A$50:$AJ$584,6,0)</f>
        <v>根室市役所（根室市長　藤原　弘）</v>
      </c>
      <c r="AM316" s="140" t="str">
        <f>VLOOKUP(AK316,'[3]17見直し計画'!$A$50:$AJ$584,8,0)</f>
        <v>北方四島住民支援（平成１７年度患者受入事業：第１回目）について</v>
      </c>
      <c r="AN316" s="180">
        <f>VLOOKUP(AK316,'[3]17見直し計画'!$A$50:$AJ$584,10,0)</f>
        <v>38520</v>
      </c>
      <c r="AO316" s="141">
        <f>VLOOKUP(AK316,'[3]17見直し計画'!$A$50:$AJ$584,11,0)</f>
        <v>3098667</v>
      </c>
      <c r="AP316" s="140" t="str">
        <f>VLOOKUP(AK316,'[3]17見直し計画'!$A$50:$AJ$584,12,0)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16" s="140" t="str">
        <f>VLOOKUP(AK316,'[3]17見直し計画'!$A$50:$AJ$584,13,0)</f>
        <v>その他のもの</v>
      </c>
      <c r="AR316" s="140" t="str">
        <f>VLOOKUP(AK316,'[3]17見直し計画'!$A$50:$AJ$584,14,0)</f>
        <v>随意契約によらざるを得ないもの</v>
      </c>
      <c r="AS316" s="140"/>
      <c r="AT316" s="140" t="str">
        <f>VLOOKUP(AK316,'[3]17見直し計画'!$A$50:$AJ$584,35,0)</f>
        <v>場所が限定される賃貸借その他業務</v>
      </c>
      <c r="AU316" s="140" t="str">
        <f>VLOOKUP(AK316,'[3]17見直し計画'!$A$50:$AJ$584,36,0)</f>
        <v>ロ</v>
      </c>
    </row>
    <row r="317" spans="1:48" ht="105" customHeight="1">
      <c r="B317" s="143" t="s">
        <v>476</v>
      </c>
      <c r="C317" s="143" t="s">
        <v>550</v>
      </c>
      <c r="D317" s="143" t="s">
        <v>351</v>
      </c>
      <c r="E317">
        <f t="shared" si="30"/>
        <v>231</v>
      </c>
      <c r="F317" s="122">
        <v>58</v>
      </c>
      <c r="G317" s="259">
        <v>58</v>
      </c>
      <c r="H317" s="260">
        <v>2200582</v>
      </c>
      <c r="I317" s="238"/>
      <c r="J317" s="238" t="s">
        <v>1424</v>
      </c>
      <c r="K317" s="239" t="s">
        <v>1162</v>
      </c>
      <c r="L317" s="261" t="s">
        <v>1163</v>
      </c>
      <c r="M317" s="238" t="s">
        <v>1164</v>
      </c>
      <c r="N317" s="127" t="s">
        <v>138</v>
      </c>
      <c r="O317" s="128" t="s">
        <v>139</v>
      </c>
      <c r="P317" s="126" t="s">
        <v>122</v>
      </c>
      <c r="Q317" s="262">
        <v>58</v>
      </c>
      <c r="R317" s="130" t="s">
        <v>1425</v>
      </c>
      <c r="S317" s="263" t="s">
        <v>125</v>
      </c>
      <c r="T317" s="264">
        <v>40326</v>
      </c>
      <c r="U317" s="133" t="s">
        <v>1426</v>
      </c>
      <c r="V317" s="134" t="s">
        <v>1427</v>
      </c>
      <c r="W317" s="130" t="s">
        <v>1428</v>
      </c>
      <c r="X317" s="265">
        <v>3111546</v>
      </c>
      <c r="Y317" s="266">
        <v>3111546</v>
      </c>
      <c r="Z317" s="267">
        <f t="shared" si="29"/>
        <v>1</v>
      </c>
      <c r="AA317" s="127"/>
      <c r="AB317" s="127"/>
      <c r="AC317" s="127">
        <v>1</v>
      </c>
      <c r="AD317" s="127" t="s">
        <v>1152</v>
      </c>
      <c r="AE317" s="138"/>
      <c r="AF317" s="125"/>
      <c r="AG317" s="117" t="s">
        <v>131</v>
      </c>
      <c r="AH317" s="139" t="s">
        <v>171</v>
      </c>
      <c r="AJ317" s="120"/>
      <c r="AK317" s="120" t="s">
        <v>1429</v>
      </c>
      <c r="AL317" s="232" t="str">
        <f>VLOOKUP(AK317,'[3]17見直し計画'!$A$50:$AJ$584,6,0)</f>
        <v>市立根室病院（市立根室病院院長　羽根田　俊）</v>
      </c>
      <c r="AM317" s="140" t="str">
        <f>VLOOKUP(AK317,'[3]17見直し計画'!$A$50:$AJ$584,8,0)</f>
        <v>北方四島住民支援（平成１７年度患者受入事業：第１回目）について</v>
      </c>
      <c r="AN317" s="180">
        <f>VLOOKUP(AK317,'[3]17見直し計画'!$A$50:$AJ$584,10,0)</f>
        <v>38520</v>
      </c>
      <c r="AO317" s="141">
        <f>VLOOKUP(AK317,'[3]17見直し計画'!$A$50:$AJ$584,11,0)</f>
        <v>6763626</v>
      </c>
      <c r="AP317" s="140" t="str">
        <f>VLOOKUP(AK317,'[3]17見直し計画'!$A$50:$AJ$584,12,0)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17" s="140" t="str">
        <f>VLOOKUP(AK317,'[3]17見直し計画'!$A$50:$AJ$584,13,0)</f>
        <v>その他のもの</v>
      </c>
      <c r="AR317" s="140" t="str">
        <f>VLOOKUP(AK317,'[3]17見直し計画'!$A$50:$AJ$584,14,0)</f>
        <v>随意契約によらざるを得ないもの</v>
      </c>
      <c r="AS317" s="140"/>
      <c r="AT317" s="140" t="str">
        <f>VLOOKUP(AK317,'[3]17見直し計画'!$A$50:$AJ$584,35,0)</f>
        <v>場所が限定される賃貸借その他業務</v>
      </c>
      <c r="AU317" s="140" t="str">
        <f>VLOOKUP(AK317,'[3]17見直し計画'!$A$50:$AJ$584,36,0)</f>
        <v>ロ</v>
      </c>
    </row>
    <row r="318" spans="1:48" ht="105" customHeight="1">
      <c r="B318" s="143" t="s">
        <v>476</v>
      </c>
      <c r="C318" s="143" t="s">
        <v>550</v>
      </c>
      <c r="D318" s="143" t="s">
        <v>351</v>
      </c>
      <c r="E318">
        <f t="shared" si="30"/>
        <v>232</v>
      </c>
      <c r="F318" s="122">
        <v>59</v>
      </c>
      <c r="G318" s="259">
        <v>59</v>
      </c>
      <c r="H318" s="260">
        <v>2200577</v>
      </c>
      <c r="I318" s="238"/>
      <c r="J318" s="238" t="s">
        <v>1430</v>
      </c>
      <c r="K318" s="239" t="s">
        <v>1162</v>
      </c>
      <c r="L318" s="261" t="s">
        <v>1163</v>
      </c>
      <c r="M318" s="238" t="s">
        <v>1164</v>
      </c>
      <c r="N318" s="127" t="s">
        <v>138</v>
      </c>
      <c r="O318" s="128" t="s">
        <v>139</v>
      </c>
      <c r="P318" s="126" t="s">
        <v>122</v>
      </c>
      <c r="Q318" s="262">
        <v>59</v>
      </c>
      <c r="R318" s="130" t="s">
        <v>1425</v>
      </c>
      <c r="S318" s="263" t="s">
        <v>125</v>
      </c>
      <c r="T318" s="264">
        <v>40326</v>
      </c>
      <c r="U318" s="133" t="s">
        <v>1431</v>
      </c>
      <c r="V318" s="134" t="s">
        <v>1432</v>
      </c>
      <c r="W318" s="130" t="s">
        <v>1428</v>
      </c>
      <c r="X318" s="265">
        <v>2918405</v>
      </c>
      <c r="Y318" s="266">
        <v>2918405</v>
      </c>
      <c r="Z318" s="267">
        <f t="shared" si="29"/>
        <v>1</v>
      </c>
      <c r="AA318" s="127"/>
      <c r="AB318" s="127"/>
      <c r="AC318" s="127">
        <v>1</v>
      </c>
      <c r="AD318" s="127" t="s">
        <v>1152</v>
      </c>
      <c r="AE318" s="138"/>
      <c r="AF318" s="125"/>
      <c r="AG318" s="117" t="s">
        <v>131</v>
      </c>
      <c r="AH318" s="139" t="s">
        <v>171</v>
      </c>
      <c r="AJ318" s="120"/>
      <c r="AK318" s="120" t="s">
        <v>1429</v>
      </c>
      <c r="AL318" s="232" t="str">
        <f>VLOOKUP(AK318,'[3]17見直し計画'!$A$50:$AJ$584,6,0)</f>
        <v>市立根室病院（市立根室病院院長　羽根田　俊）</v>
      </c>
      <c r="AM318" s="140" t="str">
        <f>VLOOKUP(AK318,'[3]17見直し計画'!$A$50:$AJ$584,8,0)</f>
        <v>北方四島住民支援（平成１７年度患者受入事業：第１回目）について</v>
      </c>
      <c r="AN318" s="180">
        <f>VLOOKUP(AK318,'[3]17見直し計画'!$A$50:$AJ$584,10,0)</f>
        <v>38520</v>
      </c>
      <c r="AO318" s="141">
        <f>VLOOKUP(AK318,'[3]17見直し計画'!$A$50:$AJ$584,11,0)</f>
        <v>6763626</v>
      </c>
      <c r="AP318" s="140" t="str">
        <f>VLOOKUP(AK318,'[3]17見直し計画'!$A$50:$AJ$584,12,0)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18" s="140" t="str">
        <f>VLOOKUP(AK318,'[3]17見直し計画'!$A$50:$AJ$584,13,0)</f>
        <v>その他のもの</v>
      </c>
      <c r="AR318" s="140" t="str">
        <f>VLOOKUP(AK318,'[3]17見直し計画'!$A$50:$AJ$584,14,0)</f>
        <v>随意契約によらざるを得ないもの</v>
      </c>
      <c r="AS318" s="140"/>
      <c r="AT318" s="140" t="str">
        <f>VLOOKUP(AK318,'[3]17見直し計画'!$A$50:$AJ$584,35,0)</f>
        <v>場所が限定される賃貸借その他業務</v>
      </c>
      <c r="AU318" s="140" t="str">
        <f>VLOOKUP(AK318,'[3]17見直し計画'!$A$50:$AJ$584,36,0)</f>
        <v>ロ</v>
      </c>
    </row>
    <row r="319" spans="1:48" ht="105" customHeight="1">
      <c r="A319" t="s">
        <v>633</v>
      </c>
      <c r="B319" s="126" t="s">
        <v>1433</v>
      </c>
      <c r="C319" s="143" t="s">
        <v>350</v>
      </c>
      <c r="D319" s="143" t="s">
        <v>477</v>
      </c>
      <c r="E319">
        <f t="shared" si="30"/>
        <v>233</v>
      </c>
      <c r="F319" s="122">
        <v>60</v>
      </c>
      <c r="G319" s="259">
        <v>60</v>
      </c>
      <c r="H319" s="260">
        <v>2200580</v>
      </c>
      <c r="I319" s="238"/>
      <c r="J319" s="238" t="s">
        <v>1434</v>
      </c>
      <c r="K319" s="239" t="s">
        <v>1222</v>
      </c>
      <c r="L319" s="261" t="s">
        <v>1190</v>
      </c>
      <c r="M319" s="238" t="s">
        <v>1223</v>
      </c>
      <c r="N319" s="127" t="s">
        <v>138</v>
      </c>
      <c r="O319" s="128" t="s">
        <v>139</v>
      </c>
      <c r="P319" s="126" t="s">
        <v>122</v>
      </c>
      <c r="Q319" s="262">
        <v>60</v>
      </c>
      <c r="R319" s="130" t="s">
        <v>1435</v>
      </c>
      <c r="S319" s="263" t="s">
        <v>125</v>
      </c>
      <c r="T319" s="264">
        <v>40326</v>
      </c>
      <c r="U319" s="133" t="s">
        <v>1436</v>
      </c>
      <c r="V319" s="134" t="s">
        <v>1437</v>
      </c>
      <c r="W319" s="130" t="s">
        <v>1438</v>
      </c>
      <c r="X319" s="265">
        <v>2529787</v>
      </c>
      <c r="Y319" s="266">
        <v>2529787</v>
      </c>
      <c r="Z319" s="267">
        <f t="shared" si="29"/>
        <v>1</v>
      </c>
      <c r="AA319" s="127"/>
      <c r="AB319" s="127"/>
      <c r="AC319" s="127">
        <v>1</v>
      </c>
      <c r="AD319" s="127" t="s">
        <v>1152</v>
      </c>
      <c r="AE319" s="138"/>
      <c r="AF319" s="125"/>
      <c r="AG319" s="117" t="s">
        <v>131</v>
      </c>
      <c r="AH319" s="139" t="s">
        <v>171</v>
      </c>
      <c r="AJ319" s="120"/>
      <c r="AK319" s="120" t="s">
        <v>147</v>
      </c>
      <c r="AL319" s="232" t="str">
        <f>VLOOKUP(AK319,'[3]17見直し計画'!$A$50:$AJ$584,6,0)</f>
        <v>　見直し計画策定以降の新規案件</v>
      </c>
      <c r="AM319" s="140">
        <f>VLOOKUP(AK319,'[3]17見直し計画'!$A$50:$AJ$584,8,0)</f>
        <v>0</v>
      </c>
      <c r="AN319" s="180"/>
      <c r="AO319" s="141">
        <f>VLOOKUP(AK319,'[3]17見直し計画'!$A$50:$AJ$584,11,0)</f>
        <v>0</v>
      </c>
      <c r="AP319" s="140">
        <f>VLOOKUP(AK319,'[3]17見直し計画'!$A$50:$AJ$584,12,0)</f>
        <v>0</v>
      </c>
      <c r="AQ319" s="140">
        <f>VLOOKUP(AK319,'[3]17見直し計画'!$A$50:$AJ$584,13,0)</f>
        <v>0</v>
      </c>
      <c r="AR319" s="140">
        <f>VLOOKUP(AK319,'[3]17見直し計画'!$A$50:$AJ$584,14,0)</f>
        <v>0</v>
      </c>
      <c r="AS319" s="140"/>
      <c r="AT319" s="140">
        <f>VLOOKUP(AK319,'[3]17見直し計画'!$A$50:$AJ$584,35,0)</f>
        <v>0</v>
      </c>
      <c r="AU319" s="140">
        <f>VLOOKUP(AK319,'[3]17見直し計画'!$A$50:$AJ$584,36,0)</f>
        <v>0</v>
      </c>
    </row>
    <row r="320" spans="1:48" ht="105" hidden="1" customHeight="1">
      <c r="B320" s="126" t="s">
        <v>218</v>
      </c>
      <c r="C320" s="143" t="s">
        <v>135</v>
      </c>
      <c r="D320" s="143" t="s">
        <v>136</v>
      </c>
      <c r="E320">
        <f>SUM(E319+1)</f>
        <v>234</v>
      </c>
      <c r="F320" s="122">
        <v>1</v>
      </c>
      <c r="G320" s="123">
        <v>1</v>
      </c>
      <c r="H320" s="238">
        <v>2200588</v>
      </c>
      <c r="I320" s="238"/>
      <c r="J320" s="238" t="s">
        <v>1439</v>
      </c>
      <c r="K320" s="238" t="s">
        <v>721</v>
      </c>
      <c r="L320" s="239" t="s">
        <v>1147</v>
      </c>
      <c r="M320" s="238" t="s">
        <v>1440</v>
      </c>
      <c r="N320" s="127" t="s">
        <v>138</v>
      </c>
      <c r="O320" s="128" t="s">
        <v>139</v>
      </c>
      <c r="P320" s="321" t="s">
        <v>122</v>
      </c>
      <c r="Q320" s="322">
        <v>1</v>
      </c>
      <c r="R320" s="130" t="s">
        <v>1441</v>
      </c>
      <c r="S320" s="131" t="s">
        <v>125</v>
      </c>
      <c r="T320" s="323">
        <v>40330</v>
      </c>
      <c r="U320" s="133" t="s">
        <v>1442</v>
      </c>
      <c r="V320" s="134" t="s">
        <v>1443</v>
      </c>
      <c r="W320" s="130" t="s">
        <v>1444</v>
      </c>
      <c r="X320" s="265">
        <v>6000000</v>
      </c>
      <c r="Y320" s="241">
        <v>6000000</v>
      </c>
      <c r="Z320" s="324">
        <f>ROUNDDOWN(Y320/X320,3)</f>
        <v>1</v>
      </c>
      <c r="AA320" s="325"/>
      <c r="AB320" s="326"/>
      <c r="AC320" s="327" t="s">
        <v>1445</v>
      </c>
      <c r="AD320" s="127" t="s">
        <v>146</v>
      </c>
      <c r="AE320" s="138"/>
      <c r="AF320" s="125"/>
      <c r="AG320" s="117" t="s">
        <v>131</v>
      </c>
      <c r="AH320" s="139" t="s">
        <v>132</v>
      </c>
      <c r="AJ320" s="179" t="s">
        <v>1446</v>
      </c>
      <c r="AK320" s="120" t="s">
        <v>147</v>
      </c>
      <c r="AL320" s="232" t="str">
        <f>VLOOKUP(AK320,'[3]17見直し計画'!$A$50:$AJ$584,6,0)</f>
        <v>　見直し計画策定以降の新規案件</v>
      </c>
      <c r="AM320" s="140">
        <f>VLOOKUP(AK320,'[3]17見直し計画'!$A$50:$AJ$584,8,0)</f>
        <v>0</v>
      </c>
      <c r="AN320" s="180"/>
      <c r="AO320" s="141">
        <f>VLOOKUP(AK320,'[3]17見直し計画'!$A$50:$AJ$584,11,0)</f>
        <v>0</v>
      </c>
      <c r="AP320" s="140">
        <f>VLOOKUP(AK320,'[3]17見直し計画'!$A$50:$AJ$584,12,0)</f>
        <v>0</v>
      </c>
      <c r="AQ320" s="140">
        <f>VLOOKUP(AK320,'[3]17見直し計画'!$A$50:$AJ$584,13,0)</f>
        <v>0</v>
      </c>
      <c r="AR320" s="140">
        <f>VLOOKUP(AK320,'[3]17見直し計画'!$A$50:$AJ$584,14,0)</f>
        <v>0</v>
      </c>
      <c r="AS320" s="140"/>
      <c r="AT320" s="140">
        <f>VLOOKUP(AK320,'[3]17見直し計画'!$A$50:$AJ$584,35,0)</f>
        <v>0</v>
      </c>
      <c r="AU320" s="140">
        <f>VLOOKUP(AK320,'[3]17見直し計画'!$A$50:$AJ$584,36,0)</f>
        <v>0</v>
      </c>
    </row>
    <row r="321" spans="1:47" ht="105" hidden="1" customHeight="1">
      <c r="B321" s="182"/>
      <c r="C321" s="182"/>
      <c r="D321" s="223" t="s">
        <v>421</v>
      </c>
      <c r="E321">
        <f t="shared" si="30"/>
        <v>235</v>
      </c>
      <c r="F321" s="185">
        <v>2</v>
      </c>
      <c r="G321" s="186">
        <v>2</v>
      </c>
      <c r="H321" s="188">
        <v>2200585</v>
      </c>
      <c r="I321" s="188"/>
      <c r="J321" s="188" t="s">
        <v>1447</v>
      </c>
      <c r="K321" s="188" t="s">
        <v>1230</v>
      </c>
      <c r="L321" s="201" t="s">
        <v>1190</v>
      </c>
      <c r="M321" s="188" t="s">
        <v>1448</v>
      </c>
      <c r="N321" s="190" t="s">
        <v>277</v>
      </c>
      <c r="O321" s="191" t="s">
        <v>121</v>
      </c>
      <c r="P321" s="328" t="s">
        <v>231</v>
      </c>
      <c r="Q321" s="329">
        <v>2</v>
      </c>
      <c r="R321" s="193" t="s">
        <v>1449</v>
      </c>
      <c r="S321" s="194" t="s">
        <v>125</v>
      </c>
      <c r="T321" s="330">
        <v>40330</v>
      </c>
      <c r="U321" s="196" t="s">
        <v>1450</v>
      </c>
      <c r="V321" s="197" t="s">
        <v>1451</v>
      </c>
      <c r="W321" s="193" t="s">
        <v>1452</v>
      </c>
      <c r="X321" s="275">
        <v>5600000</v>
      </c>
      <c r="Y321" s="331">
        <v>5382582</v>
      </c>
      <c r="Z321" s="332">
        <f t="shared" ref="Z321:Z346" si="31">ROUNDDOWN(Y321/X321,3)</f>
        <v>0.96099999999999997</v>
      </c>
      <c r="AA321" s="333">
        <v>1</v>
      </c>
      <c r="AB321" s="334"/>
      <c r="AC321" s="335">
        <v>3</v>
      </c>
      <c r="AD321" s="190" t="s">
        <v>1097</v>
      </c>
      <c r="AE321" s="201"/>
      <c r="AF321" s="188"/>
      <c r="AG321" s="202" t="s">
        <v>131</v>
      </c>
      <c r="AH321" s="203" t="s">
        <v>238</v>
      </c>
      <c r="AI321" s="184"/>
      <c r="AJ321" s="182"/>
      <c r="AK321" s="182" t="s">
        <v>147</v>
      </c>
      <c r="AL321" s="231" t="str">
        <f>VLOOKUP(AK321,'[3]17見直し計画'!$A$50:$AJ$584,6,0)</f>
        <v>　見直し計画策定以降の新規案件</v>
      </c>
      <c r="AM321" s="204">
        <f>VLOOKUP(AK321,'[3]17見直し計画'!$A$50:$AJ$584,8,0)</f>
        <v>0</v>
      </c>
      <c r="AN321" s="224"/>
      <c r="AO321" s="205">
        <f>VLOOKUP(AK321,'[3]17見直し計画'!$A$50:$AJ$584,11,0)</f>
        <v>0</v>
      </c>
      <c r="AP321" s="204">
        <f>VLOOKUP(AK321,'[3]17見直し計画'!$A$50:$AJ$584,12,0)</f>
        <v>0</v>
      </c>
      <c r="AQ321" s="204">
        <f>VLOOKUP(AK321,'[3]17見直し計画'!$A$50:$AJ$584,13,0)</f>
        <v>0</v>
      </c>
      <c r="AR321" s="204">
        <f>VLOOKUP(AK321,'[3]17見直し計画'!$A$50:$AJ$584,14,0)</f>
        <v>0</v>
      </c>
      <c r="AS321" s="204"/>
      <c r="AT321" s="204">
        <f>VLOOKUP(AK321,'[3]17見直し計画'!$A$50:$AJ$584,35,0)</f>
        <v>0</v>
      </c>
      <c r="AU321" s="204">
        <f>VLOOKUP(AK321,'[3]17見直し計画'!$A$50:$AJ$584,36,0)</f>
        <v>0</v>
      </c>
    </row>
    <row r="322" spans="1:47" ht="105" customHeight="1">
      <c r="B322" s="143" t="s">
        <v>1453</v>
      </c>
      <c r="C322" s="143" t="s">
        <v>550</v>
      </c>
      <c r="D322" s="143" t="s">
        <v>351</v>
      </c>
      <c r="E322">
        <f t="shared" si="30"/>
        <v>236</v>
      </c>
      <c r="F322" s="122">
        <v>3</v>
      </c>
      <c r="G322" s="123">
        <v>3</v>
      </c>
      <c r="H322" s="238">
        <v>2200621</v>
      </c>
      <c r="I322" s="238"/>
      <c r="J322" s="238" t="s">
        <v>1454</v>
      </c>
      <c r="K322" s="238" t="s">
        <v>1455</v>
      </c>
      <c r="L322" s="239" t="s">
        <v>1163</v>
      </c>
      <c r="M322" s="238" t="s">
        <v>1456</v>
      </c>
      <c r="N322" s="127" t="s">
        <v>120</v>
      </c>
      <c r="O322" s="128" t="s">
        <v>121</v>
      </c>
      <c r="P322" s="321" t="s">
        <v>122</v>
      </c>
      <c r="Q322" s="322">
        <v>3</v>
      </c>
      <c r="R322" s="130" t="s">
        <v>1457</v>
      </c>
      <c r="S322" s="131" t="s">
        <v>125</v>
      </c>
      <c r="T322" s="323">
        <v>40331</v>
      </c>
      <c r="U322" s="133" t="s">
        <v>166</v>
      </c>
      <c r="V322" s="134" t="s">
        <v>167</v>
      </c>
      <c r="W322" s="130" t="s">
        <v>1458</v>
      </c>
      <c r="X322" s="265">
        <v>3473362</v>
      </c>
      <c r="Y322" s="241">
        <v>3473362</v>
      </c>
      <c r="Z322" s="324">
        <f t="shared" si="31"/>
        <v>1</v>
      </c>
      <c r="AA322" s="250">
        <v>2</v>
      </c>
      <c r="AB322" s="326"/>
      <c r="AC322" s="63" t="s">
        <v>1445</v>
      </c>
      <c r="AD322" s="127" t="s">
        <v>130</v>
      </c>
      <c r="AE322" s="138"/>
      <c r="AF322" s="125"/>
      <c r="AG322" s="117" t="s">
        <v>131</v>
      </c>
      <c r="AH322" s="139" t="s">
        <v>132</v>
      </c>
      <c r="AJ322" s="120"/>
      <c r="AK322" s="120" t="s">
        <v>1459</v>
      </c>
      <c r="AL322" s="232" t="str">
        <f>VLOOKUP(AK322,'[3]17見直し計画'!$A$50:$AJ$584,6,0)</f>
        <v>財団法人　
日本国際問題研究所</v>
      </c>
      <c r="AM322" s="140" t="str">
        <f>VLOOKUP(AK322,'[3]17見直し計画'!$A$50:$AJ$584,8,0)</f>
        <v>「アジア太平洋多国間安全保障研究会」に係る研究</v>
      </c>
      <c r="AN322" s="180" t="str">
        <f>VLOOKUP(AK322,'[3]17見直し計画'!$A$50:$AJ$584,10,0)</f>
        <v>平成17/09/01</v>
      </c>
      <c r="AO322" s="141">
        <f>VLOOKUP(AK322,'[3]17見直し計画'!$A$50:$AJ$584,11,0)</f>
        <v>4109608</v>
      </c>
      <c r="AP322" s="140" t="str">
        <f>VLOOKUP(AK322,'[3]17見直し計画'!$A$50:$AJ$584,12,0)</f>
        <v>当該財団はアジア太平洋安全保障協力会議（ＣＳＣＡＰ）の日本事務局（ＣＳＣＡＰ憲章にも当該財団の名称が明記されている）であり、本件を他の機関に委託することはできない（会計法第２９条の３第４項）。</v>
      </c>
      <c r="AQ322" s="140" t="str">
        <f>VLOOKUP(AK322,'[3]17見直し計画'!$A$50:$AJ$584,13,0)</f>
        <v>その他のもの</v>
      </c>
      <c r="AR322" s="140" t="str">
        <f>VLOOKUP(AK322,'[3]17見直し計画'!$A$50:$AJ$584,14,0)</f>
        <v>ー
（随意契約によらざるを得ないもの）</v>
      </c>
      <c r="AS322" s="140"/>
      <c r="AT322" s="140" t="str">
        <f>VLOOKUP(AK322,'[3]17見直し計画'!$A$50:$AJ$584,35,0)</f>
        <v>国際的取り決めによるもの</v>
      </c>
      <c r="AU322" s="140" t="str">
        <f>VLOOKUP(AK322,'[3]17見直し計画'!$A$50:$AJ$584,36,0)</f>
        <v>イ（ロ）</v>
      </c>
    </row>
    <row r="323" spans="1:47" ht="105" hidden="1" customHeight="1">
      <c r="A323" t="s">
        <v>148</v>
      </c>
      <c r="B323" s="291" t="s">
        <v>218</v>
      </c>
      <c r="C323" s="143" t="s">
        <v>135</v>
      </c>
      <c r="D323" s="143" t="s">
        <v>136</v>
      </c>
      <c r="E323">
        <f>SUM(E322+1)</f>
        <v>237</v>
      </c>
      <c r="F323" s="122">
        <v>4</v>
      </c>
      <c r="G323" s="123">
        <v>4</v>
      </c>
      <c r="H323" s="238">
        <v>2200712</v>
      </c>
      <c r="I323" s="238"/>
      <c r="J323" s="238" t="s">
        <v>1460</v>
      </c>
      <c r="K323" s="238" t="s">
        <v>501</v>
      </c>
      <c r="L323" s="239" t="s">
        <v>1202</v>
      </c>
      <c r="M323" s="238" t="s">
        <v>1461</v>
      </c>
      <c r="N323" s="127" t="s">
        <v>138</v>
      </c>
      <c r="O323" s="128" t="s">
        <v>139</v>
      </c>
      <c r="P323" s="321" t="s">
        <v>122</v>
      </c>
      <c r="Q323" s="322">
        <v>4</v>
      </c>
      <c r="R323" s="130" t="s">
        <v>1462</v>
      </c>
      <c r="S323" s="131" t="s">
        <v>125</v>
      </c>
      <c r="T323" s="323">
        <v>40331</v>
      </c>
      <c r="U323" s="133" t="s">
        <v>1463</v>
      </c>
      <c r="V323" s="134" t="s">
        <v>1464</v>
      </c>
      <c r="W323" s="130" t="s">
        <v>1465</v>
      </c>
      <c r="X323" s="265">
        <v>1274750</v>
      </c>
      <c r="Y323" s="281">
        <v>573637</v>
      </c>
      <c r="Z323" s="324">
        <f t="shared" si="31"/>
        <v>0.44900000000000001</v>
      </c>
      <c r="AA323" s="250"/>
      <c r="AB323" s="336" t="s">
        <v>1466</v>
      </c>
      <c r="AC323" s="63" t="s">
        <v>1445</v>
      </c>
      <c r="AD323" s="127" t="s">
        <v>146</v>
      </c>
      <c r="AE323" s="138"/>
      <c r="AF323" s="125"/>
      <c r="AG323" s="117" t="s">
        <v>131</v>
      </c>
      <c r="AH323" s="139" t="s">
        <v>132</v>
      </c>
      <c r="AI323" t="s">
        <v>156</v>
      </c>
      <c r="AJ323" s="120"/>
      <c r="AK323" s="120" t="s">
        <v>147</v>
      </c>
      <c r="AL323" s="232" t="str">
        <f>VLOOKUP(AK323,'[3]17見直し計画'!$A$50:$AJ$584,6,0)</f>
        <v>　見直し計画策定以降の新規案件</v>
      </c>
      <c r="AM323" s="140">
        <f>VLOOKUP(AK323,'[3]17見直し計画'!$A$50:$AJ$584,8,0)</f>
        <v>0</v>
      </c>
      <c r="AN323" s="180"/>
      <c r="AO323" s="141">
        <f>VLOOKUP(AK323,'[3]17見直し計画'!$A$50:$AJ$584,11,0)</f>
        <v>0</v>
      </c>
      <c r="AP323" s="140">
        <f>VLOOKUP(AK323,'[3]17見直し計画'!$A$50:$AJ$584,12,0)</f>
        <v>0</v>
      </c>
      <c r="AQ323" s="140">
        <f>VLOOKUP(AK323,'[3]17見直し計画'!$A$50:$AJ$584,13,0)</f>
        <v>0</v>
      </c>
      <c r="AR323" s="140">
        <f>VLOOKUP(AK323,'[3]17見直し計画'!$A$50:$AJ$584,14,0)</f>
        <v>0</v>
      </c>
      <c r="AS323" s="140"/>
      <c r="AT323" s="140">
        <f>VLOOKUP(AK323,'[3]17見直し計画'!$A$50:$AJ$584,35,0)</f>
        <v>0</v>
      </c>
      <c r="AU323" s="140">
        <f>VLOOKUP(AK323,'[3]17見直し計画'!$A$50:$AJ$584,36,0)</f>
        <v>0</v>
      </c>
    </row>
    <row r="324" spans="1:47" ht="105" hidden="1" customHeight="1">
      <c r="B324" s="152"/>
      <c r="C324" s="152"/>
      <c r="D324" s="234" t="s">
        <v>118</v>
      </c>
      <c r="E324">
        <f t="shared" si="30"/>
        <v>238</v>
      </c>
      <c r="F324" s="155">
        <v>5</v>
      </c>
      <c r="G324" s="156">
        <v>5</v>
      </c>
      <c r="H324" s="158">
        <v>2200604</v>
      </c>
      <c r="I324" s="158"/>
      <c r="J324" s="158" t="s">
        <v>1467</v>
      </c>
      <c r="K324" s="158" t="s">
        <v>661</v>
      </c>
      <c r="L324" s="171" t="s">
        <v>1190</v>
      </c>
      <c r="M324" s="158" t="s">
        <v>1448</v>
      </c>
      <c r="N324" s="160" t="s">
        <v>1468</v>
      </c>
      <c r="O324" s="161" t="s">
        <v>980</v>
      </c>
      <c r="P324" s="337" t="s">
        <v>163</v>
      </c>
      <c r="Q324" s="338">
        <v>5</v>
      </c>
      <c r="R324" s="163" t="s">
        <v>1469</v>
      </c>
      <c r="S324" s="164" t="s">
        <v>125</v>
      </c>
      <c r="T324" s="339">
        <v>40333</v>
      </c>
      <c r="U324" s="166" t="s">
        <v>1470</v>
      </c>
      <c r="V324" s="167" t="s">
        <v>1471</v>
      </c>
      <c r="W324" s="163" t="s">
        <v>1472</v>
      </c>
      <c r="X324" s="288">
        <v>21939932</v>
      </c>
      <c r="Y324" s="340">
        <v>21939932</v>
      </c>
      <c r="Z324" s="341">
        <f t="shared" si="31"/>
        <v>1</v>
      </c>
      <c r="AA324" s="342"/>
      <c r="AB324" s="343"/>
      <c r="AC324" s="344">
        <v>1</v>
      </c>
      <c r="AD324" s="160" t="s">
        <v>1473</v>
      </c>
      <c r="AE324" s="171"/>
      <c r="AF324" s="158"/>
      <c r="AG324" s="172" t="s">
        <v>131</v>
      </c>
      <c r="AH324" s="173" t="s">
        <v>171</v>
      </c>
      <c r="AI324" s="154"/>
      <c r="AJ324" s="152" t="s">
        <v>1322</v>
      </c>
      <c r="AK324" s="152" t="s">
        <v>1474</v>
      </c>
      <c r="AL324" s="233" t="str">
        <f>VLOOKUP(AK324,'[3]17見直し計画'!$A$50:$AJ$584,6,0)</f>
        <v>独立行政法人　北方領土問題対策協会</v>
      </c>
      <c r="AM324" s="174" t="str">
        <f>VLOOKUP(AK324,'[3]17見直し計画'!$A$50:$AJ$584,8,0)</f>
        <v>北方四島住民招聘事業委嘱</v>
      </c>
      <c r="AN324" s="225" t="str">
        <f>VLOOKUP(AK324,'[3]17見直し計画'!$A$50:$AJ$584,10,0)</f>
        <v>平成17/10/07</v>
      </c>
      <c r="AO324" s="175">
        <f>VLOOKUP(AK324,'[3]17見直し計画'!$A$50:$AJ$584,11,0)</f>
        <v>37619978</v>
      </c>
      <c r="AP324" s="174" t="str">
        <f>VLOOKUP(AK324,'[3]17見直し計画'!$A$50:$AJ$584,12,0)</f>
        <v>　（独）北方領土問題対策協会（北対協）は、北方領土問題についての国民世論の啓発を行うこと等を目的として設置された組織である。北対協は、全国の各都道府県に設置されている「北方領土返還要求運動都道府県民会議」との組織的な連携を確保するとともに、返還要求運動に取り組む民間団体と緊密な連絡を図っている。当省から北対協に対して国民世論の啓発という側面も有している四島交流受入事業を委託することにより、長年にわたり世論啓発運動に従事し専門知識・ノウハウを有する北対協を通じて効果的な事業が実施できるのみならず、草の根レベルでの北方領土返還運動に従事する都道府県民会議を介する形で更に幅広い国民各層を対象とした啓発を行うことが可能となる。したがって、本事業については、当該団体と協力して実施することが政策上不可欠（会計法第29条の３第4項）</v>
      </c>
      <c r="AQ324" s="174" t="str">
        <f>VLOOKUP(AK324,'[3]17見直し計画'!$A$50:$AJ$584,13,0)</f>
        <v>その他のもの</v>
      </c>
      <c r="AR324" s="174" t="str">
        <f>VLOOKUP(AK324,'[3]17見直し計画'!$A$50:$AJ$584,14,0)</f>
        <v>ー
（随意契約によらざるを得ないもの）</v>
      </c>
      <c r="AS324" s="174"/>
      <c r="AT324" s="174">
        <f>VLOOKUP(AK324,'[3]17見直し計画'!$A$50:$AJ$584,35,0)</f>
        <v>0</v>
      </c>
      <c r="AU324" s="174">
        <f>VLOOKUP(AK324,'[3]17見直し計画'!$A$50:$AJ$584,36,0)</f>
        <v>0</v>
      </c>
    </row>
    <row r="325" spans="1:47" ht="105" customHeight="1">
      <c r="B325" s="143" t="s">
        <v>476</v>
      </c>
      <c r="C325" s="143" t="s">
        <v>550</v>
      </c>
      <c r="D325" s="143" t="s">
        <v>351</v>
      </c>
      <c r="E325">
        <f t="shared" si="30"/>
        <v>239</v>
      </c>
      <c r="F325" s="122">
        <v>6</v>
      </c>
      <c r="G325" s="123">
        <v>6</v>
      </c>
      <c r="H325" s="238">
        <v>2200583</v>
      </c>
      <c r="I325" s="238"/>
      <c r="J325" s="238" t="s">
        <v>1475</v>
      </c>
      <c r="K325" s="238" t="s">
        <v>1162</v>
      </c>
      <c r="L325" s="239" t="s">
        <v>1163</v>
      </c>
      <c r="M325" s="238" t="s">
        <v>1175</v>
      </c>
      <c r="N325" s="127" t="s">
        <v>138</v>
      </c>
      <c r="O325" s="128" t="s">
        <v>139</v>
      </c>
      <c r="P325" s="321" t="s">
        <v>122</v>
      </c>
      <c r="Q325" s="322">
        <v>6</v>
      </c>
      <c r="R325" s="130" t="s">
        <v>1476</v>
      </c>
      <c r="S325" s="131" t="s">
        <v>125</v>
      </c>
      <c r="T325" s="323">
        <v>40333</v>
      </c>
      <c r="U325" s="133" t="s">
        <v>1477</v>
      </c>
      <c r="V325" s="134" t="s">
        <v>1172</v>
      </c>
      <c r="W325" s="130" t="s">
        <v>1423</v>
      </c>
      <c r="X325" s="265">
        <v>6053213</v>
      </c>
      <c r="Y325" s="241">
        <v>6053213</v>
      </c>
      <c r="Z325" s="324">
        <f t="shared" si="31"/>
        <v>1</v>
      </c>
      <c r="AA325" s="250"/>
      <c r="AB325" s="345"/>
      <c r="AC325" s="63" t="s">
        <v>1445</v>
      </c>
      <c r="AD325" s="127" t="s">
        <v>146</v>
      </c>
      <c r="AE325" s="138"/>
      <c r="AF325" s="125"/>
      <c r="AG325" s="117" t="s">
        <v>131</v>
      </c>
      <c r="AH325" s="139" t="s">
        <v>132</v>
      </c>
      <c r="AJ325" s="120" t="s">
        <v>1322</v>
      </c>
      <c r="AK325" s="120" t="s">
        <v>1174</v>
      </c>
      <c r="AL325" s="232" t="str">
        <f>VLOOKUP(AK325,'[3]17見直し計画'!$A$50:$AJ$584,6,0)</f>
        <v>根室市役所（根室市長　藤原　弘）</v>
      </c>
      <c r="AM325" s="140" t="str">
        <f>VLOOKUP(AK325,'[3]17見直し計画'!$A$50:$AJ$584,8,0)</f>
        <v>北方四島住民支援（平成１７年度患者受入事業：第１回目）について</v>
      </c>
      <c r="AN325" s="180">
        <f>VLOOKUP(AK325,'[3]17見直し計画'!$A$50:$AJ$584,10,0)</f>
        <v>38520</v>
      </c>
      <c r="AO325" s="141">
        <f>VLOOKUP(AK325,'[3]17見直し計画'!$A$50:$AJ$584,11,0)</f>
        <v>3098667</v>
      </c>
      <c r="AP325" s="140" t="str">
        <f>VLOOKUP(AK325,'[3]17見直し計画'!$A$50:$AJ$584,12,0)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25" s="140" t="str">
        <f>VLOOKUP(AK325,'[3]17見直し計画'!$A$50:$AJ$584,13,0)</f>
        <v>その他のもの</v>
      </c>
      <c r="AR325" s="140" t="str">
        <f>VLOOKUP(AK325,'[3]17見直し計画'!$A$50:$AJ$584,14,0)</f>
        <v>随意契約によらざるを得ないもの</v>
      </c>
      <c r="AS325" s="140"/>
      <c r="AT325" s="140" t="str">
        <f>VLOOKUP(AK325,'[3]17見直し計画'!$A$50:$AJ$584,35,0)</f>
        <v>場所が限定される賃貸借その他業務</v>
      </c>
      <c r="AU325" s="140" t="str">
        <f>VLOOKUP(AK325,'[3]17見直し計画'!$A$50:$AJ$584,36,0)</f>
        <v>ロ</v>
      </c>
    </row>
    <row r="326" spans="1:47" ht="105" hidden="1" customHeight="1">
      <c r="B326" s="182"/>
      <c r="C326" s="182"/>
      <c r="D326" s="223" t="s">
        <v>421</v>
      </c>
      <c r="E326">
        <f>SUM(E325+1)</f>
        <v>240</v>
      </c>
      <c r="F326" s="185">
        <v>7</v>
      </c>
      <c r="G326" s="186">
        <v>7</v>
      </c>
      <c r="H326" s="188">
        <v>2200520</v>
      </c>
      <c r="I326" s="188"/>
      <c r="J326" s="188" t="s">
        <v>1478</v>
      </c>
      <c r="K326" s="188" t="s">
        <v>875</v>
      </c>
      <c r="L326" s="201" t="s">
        <v>1163</v>
      </c>
      <c r="M326" s="188" t="s">
        <v>1210</v>
      </c>
      <c r="N326" s="190" t="s">
        <v>230</v>
      </c>
      <c r="O326" s="191" t="s">
        <v>139</v>
      </c>
      <c r="P326" s="328" t="s">
        <v>231</v>
      </c>
      <c r="Q326" s="329">
        <v>7</v>
      </c>
      <c r="R326" s="193" t="s">
        <v>1479</v>
      </c>
      <c r="S326" s="194" t="s">
        <v>125</v>
      </c>
      <c r="T326" s="330">
        <v>40337</v>
      </c>
      <c r="U326" s="196" t="s">
        <v>1480</v>
      </c>
      <c r="V326" s="197" t="s">
        <v>781</v>
      </c>
      <c r="W326" s="193" t="s">
        <v>282</v>
      </c>
      <c r="X326" s="275">
        <v>49890000</v>
      </c>
      <c r="Y326" s="331">
        <v>47130000</v>
      </c>
      <c r="Z326" s="332">
        <f t="shared" si="31"/>
        <v>0.94399999999999995</v>
      </c>
      <c r="AA326" s="333"/>
      <c r="AB326" s="346"/>
      <c r="AC326" s="335">
        <v>3</v>
      </c>
      <c r="AD326" s="190" t="s">
        <v>237</v>
      </c>
      <c r="AE326" s="201"/>
      <c r="AF326" s="188"/>
      <c r="AG326" s="202" t="s">
        <v>131</v>
      </c>
      <c r="AH326" s="203" t="s">
        <v>238</v>
      </c>
      <c r="AI326" s="184"/>
      <c r="AJ326" s="182"/>
      <c r="AK326" s="182" t="s">
        <v>147</v>
      </c>
      <c r="AL326" s="231" t="str">
        <f>VLOOKUP(AK326,'[3]17見直し計画'!$A$50:$AJ$584,6,0)</f>
        <v>　見直し計画策定以降の新規案件</v>
      </c>
      <c r="AM326" s="204">
        <f>VLOOKUP(AK326,'[3]17見直し計画'!$A$50:$AJ$584,8,0)</f>
        <v>0</v>
      </c>
      <c r="AN326" s="224"/>
      <c r="AO326" s="205">
        <f>VLOOKUP(AK326,'[3]17見直し計画'!$A$50:$AJ$584,11,0)</f>
        <v>0</v>
      </c>
      <c r="AP326" s="204">
        <f>VLOOKUP(AK326,'[3]17見直し計画'!$A$50:$AJ$584,12,0)</f>
        <v>0</v>
      </c>
      <c r="AQ326" s="204">
        <f>VLOOKUP(AK326,'[3]17見直し計画'!$A$50:$AJ$584,13,0)</f>
        <v>0</v>
      </c>
      <c r="AR326" s="204">
        <f>VLOOKUP(AK326,'[3]17見直し計画'!$A$50:$AJ$584,14,0)</f>
        <v>0</v>
      </c>
      <c r="AS326" s="204"/>
      <c r="AT326" s="204">
        <f>VLOOKUP(AK326,'[3]17見直し計画'!$A$50:$AJ$584,35,0)</f>
        <v>0</v>
      </c>
      <c r="AU326" s="204">
        <f>VLOOKUP(AK326,'[3]17見直し計画'!$A$50:$AJ$584,36,0)</f>
        <v>0</v>
      </c>
    </row>
    <row r="327" spans="1:47" ht="105" hidden="1" customHeight="1">
      <c r="B327" s="182"/>
      <c r="C327" s="182"/>
      <c r="D327" s="223" t="s">
        <v>421</v>
      </c>
      <c r="E327">
        <f t="shared" si="30"/>
        <v>241</v>
      </c>
      <c r="F327" s="185">
        <v>8</v>
      </c>
      <c r="G327" s="186">
        <v>8</v>
      </c>
      <c r="H327" s="188">
        <v>2200614</v>
      </c>
      <c r="I327" s="188"/>
      <c r="J327" s="188" t="s">
        <v>1481</v>
      </c>
      <c r="K327" s="188" t="s">
        <v>1162</v>
      </c>
      <c r="L327" s="201" t="s">
        <v>1163</v>
      </c>
      <c r="M327" s="188" t="s">
        <v>1175</v>
      </c>
      <c r="N327" s="190" t="s">
        <v>911</v>
      </c>
      <c r="O327" s="191" t="s">
        <v>688</v>
      </c>
      <c r="P327" s="328" t="s">
        <v>231</v>
      </c>
      <c r="Q327" s="329">
        <v>8</v>
      </c>
      <c r="R327" s="193" t="s">
        <v>1482</v>
      </c>
      <c r="S327" s="194" t="s">
        <v>125</v>
      </c>
      <c r="T327" s="330">
        <v>40339</v>
      </c>
      <c r="U327" s="196" t="s">
        <v>1483</v>
      </c>
      <c r="V327" s="197" t="s">
        <v>1484</v>
      </c>
      <c r="W327" s="193" t="s">
        <v>282</v>
      </c>
      <c r="X327" s="275">
        <v>27655000</v>
      </c>
      <c r="Y327" s="331">
        <v>25475379</v>
      </c>
      <c r="Z327" s="332">
        <f t="shared" si="31"/>
        <v>0.92100000000000004</v>
      </c>
      <c r="AA327" s="333"/>
      <c r="AB327" s="346"/>
      <c r="AC327" s="335">
        <v>1</v>
      </c>
      <c r="AD327" s="190" t="s">
        <v>915</v>
      </c>
      <c r="AE327" s="201"/>
      <c r="AF327" s="188"/>
      <c r="AG327" s="202" t="s">
        <v>131</v>
      </c>
      <c r="AH327" s="203" t="s">
        <v>171</v>
      </c>
      <c r="AI327" s="184"/>
      <c r="AJ327" s="182" t="s">
        <v>156</v>
      </c>
      <c r="AK327" s="182" t="s">
        <v>147</v>
      </c>
      <c r="AL327" s="231" t="str">
        <f>VLOOKUP(AK327,'[3]17見直し計画'!$A$50:$AJ$584,6,0)</f>
        <v>　見直し計画策定以降の新規案件</v>
      </c>
      <c r="AM327" s="204">
        <f>VLOOKUP(AK327,'[3]17見直し計画'!$A$50:$AJ$584,8,0)</f>
        <v>0</v>
      </c>
      <c r="AN327" s="224"/>
      <c r="AO327" s="205">
        <f>VLOOKUP(AK327,'[3]17見直し計画'!$A$50:$AJ$584,11,0)</f>
        <v>0</v>
      </c>
      <c r="AP327" s="204">
        <f>VLOOKUP(AK327,'[3]17見直し計画'!$A$50:$AJ$584,12,0)</f>
        <v>0</v>
      </c>
      <c r="AQ327" s="204">
        <f>VLOOKUP(AK327,'[3]17見直し計画'!$A$50:$AJ$584,13,0)</f>
        <v>0</v>
      </c>
      <c r="AR327" s="204">
        <f>VLOOKUP(AK327,'[3]17見直し計画'!$A$50:$AJ$584,14,0)</f>
        <v>0</v>
      </c>
      <c r="AS327" s="204"/>
      <c r="AT327" s="204">
        <f>VLOOKUP(AK327,'[3]17見直し計画'!$A$50:$AJ$584,35,0)</f>
        <v>0</v>
      </c>
      <c r="AU327" s="204">
        <f>VLOOKUP(AK327,'[3]17見直し計画'!$A$50:$AJ$584,36,0)</f>
        <v>0</v>
      </c>
    </row>
    <row r="328" spans="1:47" ht="105" hidden="1" customHeight="1">
      <c r="B328" s="126" t="s">
        <v>134</v>
      </c>
      <c r="C328" s="120" t="s">
        <v>135</v>
      </c>
      <c r="D328" s="143" t="s">
        <v>136</v>
      </c>
      <c r="E328">
        <f t="shared" si="30"/>
        <v>242</v>
      </c>
      <c r="F328" s="122">
        <v>9</v>
      </c>
      <c r="G328" s="123">
        <v>9</v>
      </c>
      <c r="H328" s="238">
        <v>2200615</v>
      </c>
      <c r="I328" s="238"/>
      <c r="J328" s="238" t="s">
        <v>1485</v>
      </c>
      <c r="K328" s="238" t="s">
        <v>195</v>
      </c>
      <c r="L328" s="239" t="s">
        <v>1182</v>
      </c>
      <c r="M328" s="238" t="s">
        <v>1183</v>
      </c>
      <c r="N328" s="127" t="s">
        <v>138</v>
      </c>
      <c r="O328" s="128" t="s">
        <v>139</v>
      </c>
      <c r="P328" s="321" t="s">
        <v>122</v>
      </c>
      <c r="Q328" s="322">
        <v>9</v>
      </c>
      <c r="R328" s="130" t="s">
        <v>1237</v>
      </c>
      <c r="S328" s="131" t="s">
        <v>125</v>
      </c>
      <c r="T328" s="323">
        <v>40340</v>
      </c>
      <c r="U328" s="133" t="s">
        <v>303</v>
      </c>
      <c r="V328" s="134" t="s">
        <v>304</v>
      </c>
      <c r="W328" s="130" t="s">
        <v>1239</v>
      </c>
      <c r="X328" s="265">
        <v>5146245</v>
      </c>
      <c r="Y328" s="241">
        <v>5146245</v>
      </c>
      <c r="Z328" s="324">
        <f t="shared" si="31"/>
        <v>1</v>
      </c>
      <c r="AA328" s="250"/>
      <c r="AB328" s="345"/>
      <c r="AC328" s="63" t="s">
        <v>1445</v>
      </c>
      <c r="AD328" s="127" t="s">
        <v>146</v>
      </c>
      <c r="AE328" s="138"/>
      <c r="AF328" s="125"/>
      <c r="AG328" s="117" t="s">
        <v>131</v>
      </c>
      <c r="AH328" s="139" t="s">
        <v>132</v>
      </c>
      <c r="AJ328" s="120"/>
      <c r="AK328" s="120" t="s">
        <v>147</v>
      </c>
      <c r="AL328" s="232" t="str">
        <f>VLOOKUP(AK328,'[3]17見直し計画'!$A$50:$AJ$584,6,0)</f>
        <v>　見直し計画策定以降の新規案件</v>
      </c>
      <c r="AM328" s="140">
        <f>VLOOKUP(AK328,'[3]17見直し計画'!$A$50:$AJ$584,8,0)</f>
        <v>0</v>
      </c>
      <c r="AN328" s="180"/>
      <c r="AO328" s="141">
        <f>VLOOKUP(AK328,'[3]17見直し計画'!$A$50:$AJ$584,11,0)</f>
        <v>0</v>
      </c>
      <c r="AP328" s="140">
        <f>VLOOKUP(AK328,'[3]17見直し計画'!$A$50:$AJ$584,12,0)</f>
        <v>0</v>
      </c>
      <c r="AQ328" s="140">
        <f>VLOOKUP(AK328,'[3]17見直し計画'!$A$50:$AJ$584,13,0)</f>
        <v>0</v>
      </c>
      <c r="AR328" s="140">
        <f>VLOOKUP(AK328,'[3]17見直し計画'!$A$50:$AJ$584,14,0)</f>
        <v>0</v>
      </c>
      <c r="AS328" s="140"/>
      <c r="AT328" s="140">
        <f>VLOOKUP(AK328,'[3]17見直し計画'!$A$50:$AJ$584,35,0)</f>
        <v>0</v>
      </c>
      <c r="AU328" s="140">
        <f>VLOOKUP(AK328,'[3]17見直し計画'!$A$50:$AJ$584,36,0)</f>
        <v>0</v>
      </c>
    </row>
    <row r="329" spans="1:47" ht="105" hidden="1" customHeight="1">
      <c r="B329" s="126" t="s">
        <v>134</v>
      </c>
      <c r="C329" s="120" t="s">
        <v>135</v>
      </c>
      <c r="D329" s="143" t="s">
        <v>136</v>
      </c>
      <c r="E329">
        <f t="shared" si="30"/>
        <v>243</v>
      </c>
      <c r="F329" s="122">
        <v>10</v>
      </c>
      <c r="G329" s="123">
        <v>10</v>
      </c>
      <c r="H329" s="238">
        <v>2200611</v>
      </c>
      <c r="I329" s="238"/>
      <c r="J329" s="238" t="s">
        <v>1486</v>
      </c>
      <c r="K329" s="238" t="s">
        <v>195</v>
      </c>
      <c r="L329" s="239" t="s">
        <v>1182</v>
      </c>
      <c r="M329" s="238" t="s">
        <v>1183</v>
      </c>
      <c r="N329" s="127" t="s">
        <v>138</v>
      </c>
      <c r="O329" s="128" t="s">
        <v>139</v>
      </c>
      <c r="P329" s="321" t="s">
        <v>122</v>
      </c>
      <c r="Q329" s="322">
        <v>10</v>
      </c>
      <c r="R329" s="130" t="s">
        <v>1487</v>
      </c>
      <c r="S329" s="131" t="s">
        <v>125</v>
      </c>
      <c r="T329" s="323">
        <v>40340</v>
      </c>
      <c r="U329" s="133" t="s">
        <v>303</v>
      </c>
      <c r="V329" s="134" t="s">
        <v>304</v>
      </c>
      <c r="W329" s="130" t="s">
        <v>299</v>
      </c>
      <c r="X329" s="265">
        <v>1146337</v>
      </c>
      <c r="Y329" s="241">
        <v>1146337</v>
      </c>
      <c r="Z329" s="324">
        <f t="shared" si="31"/>
        <v>1</v>
      </c>
      <c r="AA329" s="250"/>
      <c r="AB329" s="345"/>
      <c r="AC329" s="63" t="s">
        <v>1445</v>
      </c>
      <c r="AD329" s="127" t="s">
        <v>146</v>
      </c>
      <c r="AE329" s="138"/>
      <c r="AF329" s="125"/>
      <c r="AG329" s="117" t="s">
        <v>131</v>
      </c>
      <c r="AH329" s="139" t="s">
        <v>132</v>
      </c>
      <c r="AJ329" s="120"/>
      <c r="AK329" s="120" t="s">
        <v>147</v>
      </c>
      <c r="AL329" s="232" t="str">
        <f>VLOOKUP(AK329,'[3]17見直し計画'!$A$50:$AJ$584,6,0)</f>
        <v>　見直し計画策定以降の新規案件</v>
      </c>
      <c r="AM329" s="140">
        <f>VLOOKUP(AK329,'[3]17見直し計画'!$A$50:$AJ$584,8,0)</f>
        <v>0</v>
      </c>
      <c r="AN329" s="180"/>
      <c r="AO329" s="141">
        <f>VLOOKUP(AK329,'[3]17見直し計画'!$A$50:$AJ$584,11,0)</f>
        <v>0</v>
      </c>
      <c r="AP329" s="140">
        <f>VLOOKUP(AK329,'[3]17見直し計画'!$A$50:$AJ$584,12,0)</f>
        <v>0</v>
      </c>
      <c r="AQ329" s="140">
        <f>VLOOKUP(AK329,'[3]17見直し計画'!$A$50:$AJ$584,13,0)</f>
        <v>0</v>
      </c>
      <c r="AR329" s="140">
        <f>VLOOKUP(AK329,'[3]17見直し計画'!$A$50:$AJ$584,14,0)</f>
        <v>0</v>
      </c>
      <c r="AS329" s="140"/>
      <c r="AT329" s="140">
        <f>VLOOKUP(AK329,'[3]17見直し計画'!$A$50:$AJ$584,35,0)</f>
        <v>0</v>
      </c>
      <c r="AU329" s="140">
        <f>VLOOKUP(AK329,'[3]17見直し計画'!$A$50:$AJ$584,36,0)</f>
        <v>0</v>
      </c>
    </row>
    <row r="330" spans="1:47" ht="105" hidden="1" customHeight="1">
      <c r="B330" s="182"/>
      <c r="C330" s="182"/>
      <c r="D330" s="223" t="s">
        <v>421</v>
      </c>
      <c r="E330">
        <f t="shared" si="30"/>
        <v>244</v>
      </c>
      <c r="F330" s="185">
        <v>11</v>
      </c>
      <c r="G330" s="186">
        <v>11</v>
      </c>
      <c r="H330" s="188">
        <v>2200717</v>
      </c>
      <c r="I330" s="188"/>
      <c r="J330" s="188"/>
      <c r="K330" s="188" t="s">
        <v>345</v>
      </c>
      <c r="L330" s="201" t="s">
        <v>1488</v>
      </c>
      <c r="M330" s="188" t="s">
        <v>1489</v>
      </c>
      <c r="N330" s="190" t="s">
        <v>230</v>
      </c>
      <c r="O330" s="191" t="s">
        <v>139</v>
      </c>
      <c r="P330" s="328" t="s">
        <v>231</v>
      </c>
      <c r="Q330" s="329">
        <v>11</v>
      </c>
      <c r="R330" s="193" t="s">
        <v>1490</v>
      </c>
      <c r="S330" s="194" t="s">
        <v>125</v>
      </c>
      <c r="T330" s="330">
        <v>40344</v>
      </c>
      <c r="U330" s="196" t="s">
        <v>1491</v>
      </c>
      <c r="V330" s="197" t="s">
        <v>1492</v>
      </c>
      <c r="W330" s="193" t="s">
        <v>282</v>
      </c>
      <c r="X330" s="275">
        <v>59966673</v>
      </c>
      <c r="Y330" s="331">
        <v>53620720</v>
      </c>
      <c r="Z330" s="332">
        <f t="shared" si="31"/>
        <v>0.89400000000000002</v>
      </c>
      <c r="AA330" s="333"/>
      <c r="AB330" s="347"/>
      <c r="AC330" s="335">
        <v>3</v>
      </c>
      <c r="AD330" s="190" t="s">
        <v>237</v>
      </c>
      <c r="AE330" s="201"/>
      <c r="AF330" s="188"/>
      <c r="AG330" s="202" t="s">
        <v>131</v>
      </c>
      <c r="AH330" s="203" t="s">
        <v>238</v>
      </c>
      <c r="AI330" s="184"/>
      <c r="AJ330" s="182"/>
      <c r="AK330" s="182" t="s">
        <v>147</v>
      </c>
      <c r="AL330" s="231" t="str">
        <f>VLOOKUP(AK330,'[3]17見直し計画'!$A$50:$AJ$584,6,0)</f>
        <v>　見直し計画策定以降の新規案件</v>
      </c>
      <c r="AM330" s="204">
        <f>VLOOKUP(AK330,'[3]17見直し計画'!$A$50:$AJ$584,8,0)</f>
        <v>0</v>
      </c>
      <c r="AN330" s="224"/>
      <c r="AO330" s="205">
        <f>VLOOKUP(AK330,'[3]17見直し計画'!$A$50:$AJ$584,11,0)</f>
        <v>0</v>
      </c>
      <c r="AP330" s="204">
        <f>VLOOKUP(AK330,'[3]17見直し計画'!$A$50:$AJ$584,12,0)</f>
        <v>0</v>
      </c>
      <c r="AQ330" s="204">
        <f>VLOOKUP(AK330,'[3]17見直し計画'!$A$50:$AJ$584,13,0)</f>
        <v>0</v>
      </c>
      <c r="AR330" s="204">
        <f>VLOOKUP(AK330,'[3]17見直し計画'!$A$50:$AJ$584,14,0)</f>
        <v>0</v>
      </c>
      <c r="AS330" s="204"/>
      <c r="AT330" s="204">
        <f>VLOOKUP(AK330,'[3]17見直し計画'!$A$50:$AJ$584,35,0)</f>
        <v>0</v>
      </c>
      <c r="AU330" s="204">
        <f>VLOOKUP(AK330,'[3]17見直し計画'!$A$50:$AJ$584,36,0)</f>
        <v>0</v>
      </c>
    </row>
    <row r="331" spans="1:47" ht="105" hidden="1" customHeight="1">
      <c r="B331" s="126" t="s">
        <v>213</v>
      </c>
      <c r="C331" s="120" t="s">
        <v>135</v>
      </c>
      <c r="D331" s="143" t="s">
        <v>136</v>
      </c>
      <c r="E331">
        <f t="shared" si="30"/>
        <v>245</v>
      </c>
      <c r="F331" s="122">
        <v>12</v>
      </c>
      <c r="G331" s="123">
        <v>12</v>
      </c>
      <c r="H331" s="238">
        <v>2200596</v>
      </c>
      <c r="I331" s="238"/>
      <c r="J331" s="238" t="s">
        <v>1493</v>
      </c>
      <c r="K331" s="238" t="s">
        <v>294</v>
      </c>
      <c r="L331" s="239" t="s">
        <v>1182</v>
      </c>
      <c r="M331" s="238" t="s">
        <v>1183</v>
      </c>
      <c r="N331" s="127" t="s">
        <v>186</v>
      </c>
      <c r="O331" s="128" t="s">
        <v>187</v>
      </c>
      <c r="P331" s="321" t="s">
        <v>122</v>
      </c>
      <c r="Q331" s="322">
        <v>12</v>
      </c>
      <c r="R331" s="130" t="s">
        <v>1494</v>
      </c>
      <c r="S331" s="131" t="s">
        <v>125</v>
      </c>
      <c r="T331" s="323">
        <v>40344</v>
      </c>
      <c r="U331" s="133" t="s">
        <v>190</v>
      </c>
      <c r="V331" s="134" t="s">
        <v>143</v>
      </c>
      <c r="W331" s="130" t="s">
        <v>299</v>
      </c>
      <c r="X331" s="265">
        <v>40421553</v>
      </c>
      <c r="Y331" s="241">
        <v>40421553</v>
      </c>
      <c r="Z331" s="324">
        <f t="shared" si="31"/>
        <v>1</v>
      </c>
      <c r="AA331" s="250"/>
      <c r="AB331" s="345"/>
      <c r="AC331" s="63" t="s">
        <v>1445</v>
      </c>
      <c r="AD331" s="127" t="s">
        <v>192</v>
      </c>
      <c r="AE331" s="138"/>
      <c r="AF331" s="125"/>
      <c r="AG331" s="117" t="s">
        <v>131</v>
      </c>
      <c r="AH331" s="139" t="s">
        <v>132</v>
      </c>
      <c r="AJ331" s="120"/>
      <c r="AK331" s="120" t="s">
        <v>147</v>
      </c>
      <c r="AL331" s="232" t="str">
        <f>VLOOKUP(AK331,'[3]17見直し計画'!$A$50:$AJ$584,6,0)</f>
        <v>　見直し計画策定以降の新規案件</v>
      </c>
      <c r="AM331" s="140">
        <f>VLOOKUP(AK331,'[3]17見直し計画'!$A$50:$AJ$584,8,0)</f>
        <v>0</v>
      </c>
      <c r="AN331" s="180"/>
      <c r="AO331" s="141">
        <f>VLOOKUP(AK331,'[3]17見直し計画'!$A$50:$AJ$584,11,0)</f>
        <v>0</v>
      </c>
      <c r="AP331" s="140">
        <f>VLOOKUP(AK331,'[3]17見直し計画'!$A$50:$AJ$584,12,0)</f>
        <v>0</v>
      </c>
      <c r="AQ331" s="140">
        <f>VLOOKUP(AK331,'[3]17見直し計画'!$A$50:$AJ$584,13,0)</f>
        <v>0</v>
      </c>
      <c r="AR331" s="140">
        <f>VLOOKUP(AK331,'[3]17見直し計画'!$A$50:$AJ$584,14,0)</f>
        <v>0</v>
      </c>
      <c r="AS331" s="140"/>
      <c r="AT331" s="140">
        <f>VLOOKUP(AK331,'[3]17見直し計画'!$A$50:$AJ$584,35,0)</f>
        <v>0</v>
      </c>
      <c r="AU331" s="140">
        <f>VLOOKUP(AK331,'[3]17見直し計画'!$A$50:$AJ$584,36,0)</f>
        <v>0</v>
      </c>
    </row>
    <row r="332" spans="1:47" ht="105" customHeight="1">
      <c r="A332" t="s">
        <v>633</v>
      </c>
      <c r="B332" s="126" t="s">
        <v>1495</v>
      </c>
      <c r="C332" s="120" t="s">
        <v>350</v>
      </c>
      <c r="D332" s="143" t="s">
        <v>477</v>
      </c>
      <c r="E332">
        <f t="shared" si="30"/>
        <v>246</v>
      </c>
      <c r="F332" s="122">
        <v>13</v>
      </c>
      <c r="G332" s="123">
        <v>13</v>
      </c>
      <c r="H332" s="238">
        <v>2200674</v>
      </c>
      <c r="I332" s="238"/>
      <c r="J332" s="238" t="s">
        <v>1496</v>
      </c>
      <c r="K332" s="238" t="s">
        <v>1222</v>
      </c>
      <c r="L332" s="239" t="s">
        <v>1190</v>
      </c>
      <c r="M332" s="238" t="s">
        <v>1448</v>
      </c>
      <c r="N332" s="127" t="s">
        <v>138</v>
      </c>
      <c r="O332" s="128" t="s">
        <v>139</v>
      </c>
      <c r="P332" s="321" t="s">
        <v>122</v>
      </c>
      <c r="Q332" s="322">
        <v>13</v>
      </c>
      <c r="R332" s="130" t="s">
        <v>1497</v>
      </c>
      <c r="S332" s="131" t="s">
        <v>125</v>
      </c>
      <c r="T332" s="323">
        <v>40344</v>
      </c>
      <c r="U332" s="133" t="s">
        <v>1498</v>
      </c>
      <c r="V332" s="134" t="s">
        <v>1499</v>
      </c>
      <c r="W332" s="130" t="s">
        <v>1500</v>
      </c>
      <c r="X332" s="265">
        <v>2247893</v>
      </c>
      <c r="Y332" s="241">
        <v>2247893</v>
      </c>
      <c r="Z332" s="324">
        <f t="shared" si="31"/>
        <v>1</v>
      </c>
      <c r="AA332" s="250"/>
      <c r="AB332" s="345"/>
      <c r="AC332" s="63" t="s">
        <v>1445</v>
      </c>
      <c r="AD332" s="127" t="s">
        <v>146</v>
      </c>
      <c r="AE332" s="138"/>
      <c r="AF332" s="125"/>
      <c r="AG332" s="117" t="s">
        <v>131</v>
      </c>
      <c r="AH332" s="139" t="s">
        <v>132</v>
      </c>
      <c r="AJ332" s="120"/>
      <c r="AK332" s="120" t="s">
        <v>147</v>
      </c>
      <c r="AL332" s="232" t="str">
        <f>VLOOKUP(AK332,'[3]17見直し計画'!$A$50:$AJ$584,6,0)</f>
        <v>　見直し計画策定以降の新規案件</v>
      </c>
      <c r="AM332" s="140">
        <f>VLOOKUP(AK332,'[3]17見直し計画'!$A$50:$AJ$584,8,0)</f>
        <v>0</v>
      </c>
      <c r="AN332" s="180"/>
      <c r="AO332" s="141">
        <f>VLOOKUP(AK332,'[3]17見直し計画'!$A$50:$AJ$584,11,0)</f>
        <v>0</v>
      </c>
      <c r="AP332" s="140">
        <f>VLOOKUP(AK332,'[3]17見直し計画'!$A$50:$AJ$584,12,0)</f>
        <v>0</v>
      </c>
      <c r="AQ332" s="140">
        <f>VLOOKUP(AK332,'[3]17見直し計画'!$A$50:$AJ$584,13,0)</f>
        <v>0</v>
      </c>
      <c r="AR332" s="140">
        <f>VLOOKUP(AK332,'[3]17見直し計画'!$A$50:$AJ$584,14,0)</f>
        <v>0</v>
      </c>
      <c r="AS332" s="140"/>
      <c r="AT332" s="140">
        <f>VLOOKUP(AK332,'[3]17見直し計画'!$A$50:$AJ$584,35,0)</f>
        <v>0</v>
      </c>
      <c r="AU332" s="140">
        <f>VLOOKUP(AK332,'[3]17見直し計画'!$A$50:$AJ$584,36,0)</f>
        <v>0</v>
      </c>
    </row>
    <row r="333" spans="1:47" ht="105" hidden="1" customHeight="1">
      <c r="B333" s="182"/>
      <c r="C333" s="182"/>
      <c r="D333" s="223" t="s">
        <v>421</v>
      </c>
      <c r="E333">
        <f>SUM(E332+1)</f>
        <v>247</v>
      </c>
      <c r="F333" s="185">
        <v>14</v>
      </c>
      <c r="G333" s="186">
        <v>14</v>
      </c>
      <c r="H333" s="188">
        <v>2200587</v>
      </c>
      <c r="I333" s="188"/>
      <c r="J333" s="188" t="s">
        <v>1501</v>
      </c>
      <c r="K333" s="188" t="s">
        <v>258</v>
      </c>
      <c r="L333" s="201" t="s">
        <v>1182</v>
      </c>
      <c r="M333" s="188" t="s">
        <v>1183</v>
      </c>
      <c r="N333" s="190" t="s">
        <v>230</v>
      </c>
      <c r="O333" s="191" t="s">
        <v>139</v>
      </c>
      <c r="P333" s="328" t="s">
        <v>231</v>
      </c>
      <c r="Q333" s="329">
        <v>14</v>
      </c>
      <c r="R333" s="193" t="s">
        <v>1502</v>
      </c>
      <c r="S333" s="194" t="s">
        <v>125</v>
      </c>
      <c r="T333" s="330">
        <v>40346</v>
      </c>
      <c r="U333" s="196" t="s">
        <v>780</v>
      </c>
      <c r="V333" s="197" t="s">
        <v>781</v>
      </c>
      <c r="W333" s="193" t="s">
        <v>282</v>
      </c>
      <c r="X333" s="275">
        <v>37884000</v>
      </c>
      <c r="Y333" s="331">
        <v>37702665</v>
      </c>
      <c r="Z333" s="332">
        <f t="shared" si="31"/>
        <v>0.995</v>
      </c>
      <c r="AA333" s="333"/>
      <c r="AB333" s="346"/>
      <c r="AC333" s="335">
        <v>3</v>
      </c>
      <c r="AD333" s="190" t="s">
        <v>237</v>
      </c>
      <c r="AE333" s="201"/>
      <c r="AF333" s="188"/>
      <c r="AG333" s="202" t="s">
        <v>131</v>
      </c>
      <c r="AH333" s="203" t="s">
        <v>238</v>
      </c>
      <c r="AI333" s="184"/>
      <c r="AJ333" s="182"/>
      <c r="AK333" s="182" t="s">
        <v>147</v>
      </c>
      <c r="AL333" s="231" t="str">
        <f>VLOOKUP(AK333,'[3]17見直し計画'!$A$50:$AJ$584,6,0)</f>
        <v>　見直し計画策定以降の新規案件</v>
      </c>
      <c r="AM333" s="204">
        <f>VLOOKUP(AK333,'[3]17見直し計画'!$A$50:$AJ$584,8,0)</f>
        <v>0</v>
      </c>
      <c r="AN333" s="224"/>
      <c r="AO333" s="205">
        <f>VLOOKUP(AK333,'[3]17見直し計画'!$A$50:$AJ$584,11,0)</f>
        <v>0</v>
      </c>
      <c r="AP333" s="204">
        <f>VLOOKUP(AK333,'[3]17見直し計画'!$A$50:$AJ$584,12,0)</f>
        <v>0</v>
      </c>
      <c r="AQ333" s="204">
        <f>VLOOKUP(AK333,'[3]17見直し計画'!$A$50:$AJ$584,13,0)</f>
        <v>0</v>
      </c>
      <c r="AR333" s="204">
        <f>VLOOKUP(AK333,'[3]17見直し計画'!$A$50:$AJ$584,14,0)</f>
        <v>0</v>
      </c>
      <c r="AS333" s="204"/>
      <c r="AT333" s="204">
        <f>VLOOKUP(AK333,'[3]17見直し計画'!$A$50:$AJ$584,35,0)</f>
        <v>0</v>
      </c>
      <c r="AU333" s="204">
        <f>VLOOKUP(AK333,'[3]17見直し計画'!$A$50:$AJ$584,36,0)</f>
        <v>0</v>
      </c>
    </row>
    <row r="334" spans="1:47" ht="105" hidden="1" customHeight="1">
      <c r="B334" s="126" t="s">
        <v>134</v>
      </c>
      <c r="C334" s="120" t="s">
        <v>135</v>
      </c>
      <c r="D334" s="143" t="s">
        <v>136</v>
      </c>
      <c r="E334">
        <f t="shared" si="30"/>
        <v>248</v>
      </c>
      <c r="F334" s="122">
        <v>15</v>
      </c>
      <c r="G334" s="123">
        <v>15</v>
      </c>
      <c r="H334" s="238">
        <v>2200652</v>
      </c>
      <c r="I334" s="238"/>
      <c r="J334" s="238" t="s">
        <v>1503</v>
      </c>
      <c r="K334" s="238" t="s">
        <v>1504</v>
      </c>
      <c r="L334" s="239" t="s">
        <v>1182</v>
      </c>
      <c r="M334" s="238" t="s">
        <v>1183</v>
      </c>
      <c r="N334" s="127" t="s">
        <v>138</v>
      </c>
      <c r="O334" s="128" t="s">
        <v>139</v>
      </c>
      <c r="P334" s="321" t="s">
        <v>122</v>
      </c>
      <c r="Q334" s="322">
        <v>15</v>
      </c>
      <c r="R334" s="130" t="s">
        <v>1505</v>
      </c>
      <c r="S334" s="131" t="s">
        <v>125</v>
      </c>
      <c r="T334" s="323">
        <v>40346</v>
      </c>
      <c r="U334" s="133" t="s">
        <v>468</v>
      </c>
      <c r="V334" s="134" t="s">
        <v>469</v>
      </c>
      <c r="W334" s="130" t="s">
        <v>1506</v>
      </c>
      <c r="X334" s="265">
        <v>2807947</v>
      </c>
      <c r="Y334" s="241">
        <v>2485387</v>
      </c>
      <c r="Z334" s="324">
        <f t="shared" si="31"/>
        <v>0.88500000000000001</v>
      </c>
      <c r="AA334" s="250"/>
      <c r="AB334" s="345"/>
      <c r="AC334" s="63" t="s">
        <v>1445</v>
      </c>
      <c r="AD334" s="127" t="s">
        <v>146</v>
      </c>
      <c r="AE334" s="138"/>
      <c r="AF334" s="125"/>
      <c r="AG334" s="117" t="s">
        <v>131</v>
      </c>
      <c r="AH334" s="139" t="s">
        <v>132</v>
      </c>
      <c r="AJ334" s="120"/>
      <c r="AK334" s="120" t="s">
        <v>147</v>
      </c>
      <c r="AL334" s="232" t="str">
        <f>VLOOKUP(AK334,'[3]17見直し計画'!$A$50:$AJ$584,6,0)</f>
        <v>　見直し計画策定以降の新規案件</v>
      </c>
      <c r="AM334" s="140">
        <f>VLOOKUP(AK334,'[3]17見直し計画'!$A$50:$AJ$584,8,0)</f>
        <v>0</v>
      </c>
      <c r="AN334" s="180"/>
      <c r="AO334" s="141">
        <f>VLOOKUP(AK334,'[3]17見直し計画'!$A$50:$AJ$584,11,0)</f>
        <v>0</v>
      </c>
      <c r="AP334" s="140">
        <f>VLOOKUP(AK334,'[3]17見直し計画'!$A$50:$AJ$584,12,0)</f>
        <v>0</v>
      </c>
      <c r="AQ334" s="140">
        <f>VLOOKUP(AK334,'[3]17見直し計画'!$A$50:$AJ$584,13,0)</f>
        <v>0</v>
      </c>
      <c r="AR334" s="140">
        <f>VLOOKUP(AK334,'[3]17見直し計画'!$A$50:$AJ$584,14,0)</f>
        <v>0</v>
      </c>
      <c r="AS334" s="140"/>
      <c r="AT334" s="140">
        <f>VLOOKUP(AK334,'[3]17見直し計画'!$A$50:$AJ$584,35,0)</f>
        <v>0</v>
      </c>
      <c r="AU334" s="140">
        <f>VLOOKUP(AK334,'[3]17見直し計画'!$A$50:$AJ$584,36,0)</f>
        <v>0</v>
      </c>
    </row>
    <row r="335" spans="1:47" ht="105" hidden="1" customHeight="1">
      <c r="B335" s="182"/>
      <c r="C335" s="182"/>
      <c r="D335" s="223" t="s">
        <v>421</v>
      </c>
      <c r="E335">
        <f t="shared" si="30"/>
        <v>249</v>
      </c>
      <c r="F335" s="185">
        <v>16</v>
      </c>
      <c r="G335" s="186">
        <v>16</v>
      </c>
      <c r="H335" s="188">
        <v>2200642</v>
      </c>
      <c r="I335" s="188"/>
      <c r="J335" s="188" t="s">
        <v>1507</v>
      </c>
      <c r="K335" s="188" t="s">
        <v>1162</v>
      </c>
      <c r="L335" s="201" t="s">
        <v>1163</v>
      </c>
      <c r="M335" s="188" t="s">
        <v>1175</v>
      </c>
      <c r="N335" s="190" t="s">
        <v>230</v>
      </c>
      <c r="O335" s="191" t="s">
        <v>139</v>
      </c>
      <c r="P335" s="328" t="s">
        <v>231</v>
      </c>
      <c r="Q335" s="329">
        <v>16</v>
      </c>
      <c r="R335" s="193" t="s">
        <v>1508</v>
      </c>
      <c r="S335" s="194" t="s">
        <v>125</v>
      </c>
      <c r="T335" s="330">
        <v>40347</v>
      </c>
      <c r="U335" s="196" t="s">
        <v>1477</v>
      </c>
      <c r="V335" s="197" t="s">
        <v>1172</v>
      </c>
      <c r="W335" s="193" t="s">
        <v>282</v>
      </c>
      <c r="X335" s="275">
        <v>6130000</v>
      </c>
      <c r="Y335" s="331">
        <v>6130000</v>
      </c>
      <c r="Z335" s="332">
        <f t="shared" si="31"/>
        <v>1</v>
      </c>
      <c r="AA335" s="333"/>
      <c r="AB335" s="346"/>
      <c r="AC335" s="335">
        <v>1</v>
      </c>
      <c r="AD335" s="190" t="s">
        <v>631</v>
      </c>
      <c r="AE335" s="201"/>
      <c r="AF335" s="188"/>
      <c r="AG335" s="202" t="s">
        <v>131</v>
      </c>
      <c r="AH335" s="203" t="s">
        <v>171</v>
      </c>
      <c r="AI335" s="184"/>
      <c r="AJ335" s="182"/>
      <c r="AK335" s="182" t="s">
        <v>147</v>
      </c>
      <c r="AL335" s="231" t="str">
        <f>VLOOKUP(AK335,'[3]17見直し計画'!$A$50:$AJ$584,6,0)</f>
        <v>　見直し計画策定以降の新規案件</v>
      </c>
      <c r="AM335" s="204">
        <f>VLOOKUP(AK335,'[3]17見直し計画'!$A$50:$AJ$584,8,0)</f>
        <v>0</v>
      </c>
      <c r="AN335" s="224"/>
      <c r="AO335" s="205">
        <f>VLOOKUP(AK335,'[3]17見直し計画'!$A$50:$AJ$584,11,0)</f>
        <v>0</v>
      </c>
      <c r="AP335" s="204">
        <f>VLOOKUP(AK335,'[3]17見直し計画'!$A$50:$AJ$584,12,0)</f>
        <v>0</v>
      </c>
      <c r="AQ335" s="204">
        <f>VLOOKUP(AK335,'[3]17見直し計画'!$A$50:$AJ$584,13,0)</f>
        <v>0</v>
      </c>
      <c r="AR335" s="204">
        <f>VLOOKUP(AK335,'[3]17見直し計画'!$A$50:$AJ$584,14,0)</f>
        <v>0</v>
      </c>
      <c r="AS335" s="204"/>
      <c r="AT335" s="204">
        <f>VLOOKUP(AK335,'[3]17見直し計画'!$A$50:$AJ$584,35,0)</f>
        <v>0</v>
      </c>
      <c r="AU335" s="204">
        <f>VLOOKUP(AK335,'[3]17見直し計画'!$A$50:$AJ$584,36,0)</f>
        <v>0</v>
      </c>
    </row>
    <row r="336" spans="1:47" ht="105" hidden="1" customHeight="1">
      <c r="B336" s="182"/>
      <c r="C336" s="182"/>
      <c r="D336" s="223" t="s">
        <v>421</v>
      </c>
      <c r="E336">
        <f t="shared" si="30"/>
        <v>250</v>
      </c>
      <c r="F336" s="185">
        <v>17</v>
      </c>
      <c r="G336" s="186">
        <v>17</v>
      </c>
      <c r="H336" s="188">
        <v>2200063</v>
      </c>
      <c r="I336" s="188"/>
      <c r="J336" s="188" t="s">
        <v>1509</v>
      </c>
      <c r="K336" s="188" t="s">
        <v>1510</v>
      </c>
      <c r="L336" s="201" t="s">
        <v>1190</v>
      </c>
      <c r="M336" s="188" t="s">
        <v>1381</v>
      </c>
      <c r="N336" s="190" t="s">
        <v>277</v>
      </c>
      <c r="O336" s="191" t="s">
        <v>121</v>
      </c>
      <c r="P336" s="328" t="s">
        <v>231</v>
      </c>
      <c r="Q336" s="329">
        <v>17</v>
      </c>
      <c r="R336" s="193" t="s">
        <v>1511</v>
      </c>
      <c r="S336" s="194" t="s">
        <v>125</v>
      </c>
      <c r="T336" s="330">
        <v>40347</v>
      </c>
      <c r="U336" s="196" t="s">
        <v>1512</v>
      </c>
      <c r="V336" s="197" t="s">
        <v>1116</v>
      </c>
      <c r="W336" s="193" t="s">
        <v>282</v>
      </c>
      <c r="X336" s="275">
        <v>4272000</v>
      </c>
      <c r="Y336" s="331">
        <v>4254528</v>
      </c>
      <c r="Z336" s="332">
        <f t="shared" si="31"/>
        <v>0.995</v>
      </c>
      <c r="AA336" s="333">
        <v>0</v>
      </c>
      <c r="AB336" s="346"/>
      <c r="AC336" s="335">
        <v>2</v>
      </c>
      <c r="AD336" s="190" t="s">
        <v>1249</v>
      </c>
      <c r="AE336" s="201"/>
      <c r="AF336" s="188"/>
      <c r="AG336" s="202" t="s">
        <v>131</v>
      </c>
      <c r="AH336" s="203" t="s">
        <v>428</v>
      </c>
      <c r="AI336" s="184"/>
      <c r="AJ336" s="182"/>
      <c r="AK336" s="182" t="s">
        <v>147</v>
      </c>
      <c r="AL336" s="231" t="str">
        <f>VLOOKUP(AK336,'[3]17見直し計画'!$A$50:$AJ$584,6,0)</f>
        <v>　見直し計画策定以降の新規案件</v>
      </c>
      <c r="AM336" s="204">
        <f>VLOOKUP(AK336,'[3]17見直し計画'!$A$50:$AJ$584,8,0)</f>
        <v>0</v>
      </c>
      <c r="AN336" s="224"/>
      <c r="AO336" s="205">
        <f>VLOOKUP(AK336,'[3]17見直し計画'!$A$50:$AJ$584,11,0)</f>
        <v>0</v>
      </c>
      <c r="AP336" s="204">
        <f>VLOOKUP(AK336,'[3]17見直し計画'!$A$50:$AJ$584,12,0)</f>
        <v>0</v>
      </c>
      <c r="AQ336" s="204">
        <f>VLOOKUP(AK336,'[3]17見直し計画'!$A$50:$AJ$584,13,0)</f>
        <v>0</v>
      </c>
      <c r="AR336" s="204">
        <f>VLOOKUP(AK336,'[3]17見直し計画'!$A$50:$AJ$584,14,0)</f>
        <v>0</v>
      </c>
      <c r="AS336" s="204"/>
      <c r="AT336" s="204">
        <f>VLOOKUP(AK336,'[3]17見直し計画'!$A$50:$AJ$584,35,0)</f>
        <v>0</v>
      </c>
      <c r="AU336" s="204">
        <f>VLOOKUP(AK336,'[3]17見直し計画'!$A$50:$AJ$584,36,0)</f>
        <v>0</v>
      </c>
    </row>
    <row r="337" spans="2:47" ht="105" hidden="1" customHeight="1">
      <c r="B337" s="182"/>
      <c r="C337" s="182"/>
      <c r="D337" s="223" t="s">
        <v>421</v>
      </c>
      <c r="E337">
        <f t="shared" si="30"/>
        <v>251</v>
      </c>
      <c r="F337" s="185">
        <v>18</v>
      </c>
      <c r="G337" s="186">
        <v>18</v>
      </c>
      <c r="H337" s="188">
        <v>2200597</v>
      </c>
      <c r="I337" s="188"/>
      <c r="J337" s="188" t="s">
        <v>1513</v>
      </c>
      <c r="K337" s="188" t="s">
        <v>258</v>
      </c>
      <c r="L337" s="201" t="s">
        <v>1182</v>
      </c>
      <c r="M337" s="188" t="s">
        <v>1183</v>
      </c>
      <c r="N337" s="190" t="s">
        <v>230</v>
      </c>
      <c r="O337" s="191" t="s">
        <v>139</v>
      </c>
      <c r="P337" s="328" t="s">
        <v>231</v>
      </c>
      <c r="Q337" s="329">
        <v>18</v>
      </c>
      <c r="R337" s="193" t="s">
        <v>1514</v>
      </c>
      <c r="S337" s="194" t="s">
        <v>125</v>
      </c>
      <c r="T337" s="330">
        <v>40350</v>
      </c>
      <c r="U337" s="196" t="s">
        <v>1515</v>
      </c>
      <c r="V337" s="197" t="s">
        <v>781</v>
      </c>
      <c r="W337" s="193" t="s">
        <v>282</v>
      </c>
      <c r="X337" s="275">
        <v>47697000</v>
      </c>
      <c r="Y337" s="331">
        <v>47695725</v>
      </c>
      <c r="Z337" s="332">
        <f t="shared" si="31"/>
        <v>0.999</v>
      </c>
      <c r="AA337" s="333"/>
      <c r="AB337" s="346"/>
      <c r="AC337" s="335">
        <v>3</v>
      </c>
      <c r="AD337" s="190" t="s">
        <v>237</v>
      </c>
      <c r="AE337" s="201"/>
      <c r="AF337" s="188"/>
      <c r="AG337" s="202" t="s">
        <v>131</v>
      </c>
      <c r="AH337" s="203" t="s">
        <v>238</v>
      </c>
      <c r="AI337" s="184"/>
      <c r="AJ337" s="182"/>
      <c r="AK337" s="182" t="s">
        <v>147</v>
      </c>
      <c r="AL337" s="231" t="str">
        <f>VLOOKUP(AK337,'[3]17見直し計画'!$A$50:$AJ$584,6,0)</f>
        <v>　見直し計画策定以降の新規案件</v>
      </c>
      <c r="AM337" s="204">
        <f>VLOOKUP(AK337,'[3]17見直し計画'!$A$50:$AJ$584,8,0)</f>
        <v>0</v>
      </c>
      <c r="AN337" s="224"/>
      <c r="AO337" s="205">
        <f>VLOOKUP(AK337,'[3]17見直し計画'!$A$50:$AJ$584,11,0)</f>
        <v>0</v>
      </c>
      <c r="AP337" s="204">
        <f>VLOOKUP(AK337,'[3]17見直し計画'!$A$50:$AJ$584,12,0)</f>
        <v>0</v>
      </c>
      <c r="AQ337" s="204">
        <f>VLOOKUP(AK337,'[3]17見直し計画'!$A$50:$AJ$584,13,0)</f>
        <v>0</v>
      </c>
      <c r="AR337" s="204">
        <f>VLOOKUP(AK337,'[3]17見直し計画'!$A$50:$AJ$584,14,0)</f>
        <v>0</v>
      </c>
      <c r="AS337" s="204"/>
      <c r="AT337" s="204">
        <f>VLOOKUP(AK337,'[3]17見直し計画'!$A$50:$AJ$584,35,0)</f>
        <v>0</v>
      </c>
      <c r="AU337" s="204">
        <f>VLOOKUP(AK337,'[3]17見直し計画'!$A$50:$AJ$584,36,0)</f>
        <v>0</v>
      </c>
    </row>
    <row r="338" spans="2:47" ht="105" customHeight="1">
      <c r="B338" s="143" t="s">
        <v>476</v>
      </c>
      <c r="C338" s="143" t="s">
        <v>550</v>
      </c>
      <c r="D338" s="143" t="s">
        <v>351</v>
      </c>
      <c r="E338">
        <f t="shared" si="30"/>
        <v>252</v>
      </c>
      <c r="F338" s="122">
        <v>19</v>
      </c>
      <c r="G338" s="123">
        <v>19</v>
      </c>
      <c r="H338" s="238">
        <v>2200659</v>
      </c>
      <c r="I338" s="238"/>
      <c r="J338" s="238" t="s">
        <v>1516</v>
      </c>
      <c r="K338" s="238" t="s">
        <v>1162</v>
      </c>
      <c r="L338" s="239" t="s">
        <v>1163</v>
      </c>
      <c r="M338" s="238" t="s">
        <v>1175</v>
      </c>
      <c r="N338" s="127" t="s">
        <v>138</v>
      </c>
      <c r="O338" s="128" t="s">
        <v>139</v>
      </c>
      <c r="P338" s="321" t="s">
        <v>122</v>
      </c>
      <c r="Q338" s="322">
        <v>19</v>
      </c>
      <c r="R338" s="130" t="s">
        <v>1517</v>
      </c>
      <c r="S338" s="131" t="s">
        <v>125</v>
      </c>
      <c r="T338" s="323">
        <v>40351</v>
      </c>
      <c r="U338" s="133" t="s">
        <v>1431</v>
      </c>
      <c r="V338" s="134" t="s">
        <v>1432</v>
      </c>
      <c r="W338" s="130" t="s">
        <v>1428</v>
      </c>
      <c r="X338" s="265">
        <v>6324913</v>
      </c>
      <c r="Y338" s="241">
        <v>6324913</v>
      </c>
      <c r="Z338" s="324">
        <f t="shared" si="31"/>
        <v>1</v>
      </c>
      <c r="AA338" s="250"/>
      <c r="AB338" s="345"/>
      <c r="AC338" s="63" t="s">
        <v>1445</v>
      </c>
      <c r="AD338" s="127" t="s">
        <v>146</v>
      </c>
      <c r="AE338" s="138"/>
      <c r="AF338" s="125"/>
      <c r="AG338" s="117" t="s">
        <v>131</v>
      </c>
      <c r="AH338" s="139" t="s">
        <v>132</v>
      </c>
      <c r="AI338" s="177"/>
      <c r="AJ338" s="120"/>
      <c r="AK338" s="120" t="s">
        <v>1429</v>
      </c>
      <c r="AL338" s="232" t="str">
        <f>VLOOKUP(AK338,'[3]17見直し計画'!$A$50:$AJ$584,6,0)</f>
        <v>市立根室病院（市立根室病院院長　羽根田　俊）</v>
      </c>
      <c r="AM338" s="140" t="str">
        <f>VLOOKUP(AK338,'[3]17見直し計画'!$A$50:$AJ$584,8,0)</f>
        <v>北方四島住民支援（平成１７年度患者受入事業：第１回目）について</v>
      </c>
      <c r="AN338" s="180">
        <f>VLOOKUP(AK338,'[3]17見直し計画'!$A$50:$AJ$584,10,0)</f>
        <v>38520</v>
      </c>
      <c r="AO338" s="141">
        <f>VLOOKUP(AK338,'[3]17見直し計画'!$A$50:$AJ$584,11,0)</f>
        <v>6763626</v>
      </c>
      <c r="AP338" s="140" t="str">
        <f>VLOOKUP(AK338,'[3]17見直し計画'!$A$50:$AJ$584,12,0)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38" s="140" t="str">
        <f>VLOOKUP(AK338,'[3]17見直し計画'!$A$50:$AJ$584,13,0)</f>
        <v>その他のもの</v>
      </c>
      <c r="AR338" s="140" t="str">
        <f>VLOOKUP(AK338,'[3]17見直し計画'!$A$50:$AJ$584,14,0)</f>
        <v>随意契約によらざるを得ないもの</v>
      </c>
      <c r="AS338" s="140"/>
      <c r="AT338" s="140" t="str">
        <f>VLOOKUP(AK338,'[3]17見直し計画'!$A$50:$AJ$584,35,0)</f>
        <v>場所が限定される賃貸借その他業務</v>
      </c>
      <c r="AU338" s="140" t="str">
        <f>VLOOKUP(AK338,'[3]17見直し計画'!$A$50:$AJ$584,36,0)</f>
        <v>ロ</v>
      </c>
    </row>
    <row r="339" spans="2:47" ht="105" customHeight="1">
      <c r="B339" s="143" t="s">
        <v>476</v>
      </c>
      <c r="C339" s="143" t="s">
        <v>550</v>
      </c>
      <c r="D339" s="143" t="s">
        <v>351</v>
      </c>
      <c r="E339">
        <f t="shared" si="30"/>
        <v>253</v>
      </c>
      <c r="F339" s="122">
        <v>20</v>
      </c>
      <c r="G339" s="123">
        <v>20</v>
      </c>
      <c r="H339" s="238">
        <v>2200660</v>
      </c>
      <c r="I339" s="238"/>
      <c r="J339" s="238" t="s">
        <v>1518</v>
      </c>
      <c r="K339" s="238" t="s">
        <v>1162</v>
      </c>
      <c r="L339" s="239" t="s">
        <v>1163</v>
      </c>
      <c r="M339" s="238" t="s">
        <v>1175</v>
      </c>
      <c r="N339" s="127" t="s">
        <v>138</v>
      </c>
      <c r="O339" s="128" t="s">
        <v>139</v>
      </c>
      <c r="P339" s="321" t="s">
        <v>122</v>
      </c>
      <c r="Q339" s="322">
        <v>20</v>
      </c>
      <c r="R339" s="130" t="s">
        <v>1519</v>
      </c>
      <c r="S339" s="131" t="s">
        <v>125</v>
      </c>
      <c r="T339" s="323">
        <v>40351</v>
      </c>
      <c r="U339" s="133" t="s">
        <v>1520</v>
      </c>
      <c r="V339" s="134" t="s">
        <v>1422</v>
      </c>
      <c r="W339" s="130" t="s">
        <v>1423</v>
      </c>
      <c r="X339" s="265">
        <v>5426187</v>
      </c>
      <c r="Y339" s="241">
        <v>5426187</v>
      </c>
      <c r="Z339" s="324">
        <f t="shared" si="31"/>
        <v>1</v>
      </c>
      <c r="AA339" s="250"/>
      <c r="AB339" s="345"/>
      <c r="AC339" s="63" t="s">
        <v>1445</v>
      </c>
      <c r="AD339" s="127" t="s">
        <v>146</v>
      </c>
      <c r="AE339" s="138"/>
      <c r="AF339" s="125"/>
      <c r="AG339" s="117" t="s">
        <v>131</v>
      </c>
      <c r="AH339" s="139" t="s">
        <v>132</v>
      </c>
      <c r="AJ339" s="120"/>
      <c r="AK339" s="120" t="s">
        <v>1174</v>
      </c>
      <c r="AL339" s="232" t="str">
        <f>VLOOKUP(AK339,'[3]17見直し計画'!$A$50:$AJ$584,6,0)</f>
        <v>根室市役所（根室市長　藤原　弘）</v>
      </c>
      <c r="AM339" s="140" t="str">
        <f>VLOOKUP(AK339,'[3]17見直し計画'!$A$50:$AJ$584,8,0)</f>
        <v>北方四島住民支援（平成１７年度患者受入事業：第１回目）について</v>
      </c>
      <c r="AN339" s="180">
        <f>VLOOKUP(AK339,'[3]17見直し計画'!$A$50:$AJ$584,10,0)</f>
        <v>38520</v>
      </c>
      <c r="AO339" s="141">
        <f>VLOOKUP(AK339,'[3]17見直し計画'!$A$50:$AJ$584,11,0)</f>
        <v>3098667</v>
      </c>
      <c r="AP339" s="140" t="str">
        <f>VLOOKUP(AK339,'[3]17見直し計画'!$A$50:$AJ$584,12,0)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39" s="140" t="str">
        <f>VLOOKUP(AK339,'[3]17見直し計画'!$A$50:$AJ$584,13,0)</f>
        <v>その他のもの</v>
      </c>
      <c r="AR339" s="140" t="str">
        <f>VLOOKUP(AK339,'[3]17見直し計画'!$A$50:$AJ$584,14,0)</f>
        <v>随意契約によらざるを得ないもの</v>
      </c>
      <c r="AS339" s="140"/>
      <c r="AT339" s="140" t="str">
        <f>VLOOKUP(AK339,'[3]17見直し計画'!$A$50:$AJ$584,35,0)</f>
        <v>場所が限定される賃貸借その他業務</v>
      </c>
      <c r="AU339" s="140" t="str">
        <f>VLOOKUP(AK339,'[3]17見直し計画'!$A$50:$AJ$584,36,0)</f>
        <v>ロ</v>
      </c>
    </row>
    <row r="340" spans="2:47" ht="105" customHeight="1">
      <c r="B340" s="143" t="s">
        <v>476</v>
      </c>
      <c r="C340" s="143" t="s">
        <v>550</v>
      </c>
      <c r="D340" s="143" t="s">
        <v>351</v>
      </c>
      <c r="E340">
        <f t="shared" si="30"/>
        <v>254</v>
      </c>
      <c r="F340" s="122">
        <v>21</v>
      </c>
      <c r="G340" s="123">
        <v>21</v>
      </c>
      <c r="H340" s="238">
        <v>2200689</v>
      </c>
      <c r="I340" s="238"/>
      <c r="J340" s="238" t="s">
        <v>1516</v>
      </c>
      <c r="K340" s="238" t="s">
        <v>1162</v>
      </c>
      <c r="L340" s="239" t="s">
        <v>1163</v>
      </c>
      <c r="M340" s="238" t="s">
        <v>1175</v>
      </c>
      <c r="N340" s="127" t="s">
        <v>138</v>
      </c>
      <c r="O340" s="128" t="s">
        <v>139</v>
      </c>
      <c r="P340" s="321" t="s">
        <v>122</v>
      </c>
      <c r="Q340" s="322">
        <v>21</v>
      </c>
      <c r="R340" s="130" t="s">
        <v>1521</v>
      </c>
      <c r="S340" s="131" t="s">
        <v>125</v>
      </c>
      <c r="T340" s="323">
        <v>40351</v>
      </c>
      <c r="U340" s="133" t="s">
        <v>1426</v>
      </c>
      <c r="V340" s="134" t="s">
        <v>1522</v>
      </c>
      <c r="W340" s="130" t="s">
        <v>1428</v>
      </c>
      <c r="X340" s="265">
        <v>2682932</v>
      </c>
      <c r="Y340" s="241">
        <v>2682932</v>
      </c>
      <c r="Z340" s="324">
        <f t="shared" si="31"/>
        <v>1</v>
      </c>
      <c r="AA340" s="250"/>
      <c r="AB340" s="345"/>
      <c r="AC340" s="63" t="s">
        <v>1445</v>
      </c>
      <c r="AD340" s="127" t="s">
        <v>146</v>
      </c>
      <c r="AE340" s="138"/>
      <c r="AF340" s="125"/>
      <c r="AG340" s="117" t="s">
        <v>131</v>
      </c>
      <c r="AH340" s="139" t="s">
        <v>132</v>
      </c>
      <c r="AJ340" s="120"/>
      <c r="AK340" s="120" t="s">
        <v>1429</v>
      </c>
      <c r="AL340" s="232" t="str">
        <f>VLOOKUP(AK340,'[3]17見直し計画'!$A$50:$AJ$584,6,0)</f>
        <v>市立根室病院（市立根室病院院長　羽根田　俊）</v>
      </c>
      <c r="AM340" s="140" t="str">
        <f>VLOOKUP(AK340,'[3]17見直し計画'!$A$50:$AJ$584,8,0)</f>
        <v>北方四島住民支援（平成１７年度患者受入事業：第１回目）について</v>
      </c>
      <c r="AN340" s="180">
        <f>VLOOKUP(AK340,'[3]17見直し計画'!$A$50:$AJ$584,10,0)</f>
        <v>38520</v>
      </c>
      <c r="AO340" s="141">
        <f>VLOOKUP(AK340,'[3]17見直し計画'!$A$50:$AJ$584,11,0)</f>
        <v>6763626</v>
      </c>
      <c r="AP340" s="140" t="str">
        <f>VLOOKUP(AK340,'[3]17見直し計画'!$A$50:$AJ$584,12,0)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40" s="140" t="str">
        <f>VLOOKUP(AK340,'[3]17見直し計画'!$A$50:$AJ$584,13,0)</f>
        <v>その他のもの</v>
      </c>
      <c r="AR340" s="140" t="str">
        <f>VLOOKUP(AK340,'[3]17見直し計画'!$A$50:$AJ$584,14,0)</f>
        <v>随意契約によらざるを得ないもの</v>
      </c>
      <c r="AS340" s="140"/>
      <c r="AT340" s="140" t="str">
        <f>VLOOKUP(AK340,'[3]17見直し計画'!$A$50:$AJ$584,35,0)</f>
        <v>場所が限定される賃貸借その他業務</v>
      </c>
      <c r="AU340" s="140" t="str">
        <f>VLOOKUP(AK340,'[3]17見直し計画'!$A$50:$AJ$584,36,0)</f>
        <v>ロ</v>
      </c>
    </row>
    <row r="341" spans="2:47" ht="105" hidden="1" customHeight="1">
      <c r="B341" s="182"/>
      <c r="C341" s="182"/>
      <c r="D341" s="223" t="s">
        <v>421</v>
      </c>
      <c r="E341">
        <f>SUM(E340+1)</f>
        <v>255</v>
      </c>
      <c r="F341" s="185">
        <v>22</v>
      </c>
      <c r="G341" s="186">
        <v>22</v>
      </c>
      <c r="H341" s="188">
        <v>2200672</v>
      </c>
      <c r="I341" s="188"/>
      <c r="J341" s="188" t="s">
        <v>1523</v>
      </c>
      <c r="K341" s="188" t="s">
        <v>1162</v>
      </c>
      <c r="L341" s="201" t="s">
        <v>1163</v>
      </c>
      <c r="M341" s="188" t="s">
        <v>1175</v>
      </c>
      <c r="N341" s="190" t="s">
        <v>230</v>
      </c>
      <c r="O341" s="191" t="s">
        <v>139</v>
      </c>
      <c r="P341" s="328" t="s">
        <v>231</v>
      </c>
      <c r="Q341" s="329">
        <v>22</v>
      </c>
      <c r="R341" s="193" t="s">
        <v>1524</v>
      </c>
      <c r="S341" s="194" t="s">
        <v>125</v>
      </c>
      <c r="T341" s="330">
        <v>40352</v>
      </c>
      <c r="U341" s="196" t="s">
        <v>1525</v>
      </c>
      <c r="V341" s="197" t="s">
        <v>1526</v>
      </c>
      <c r="W341" s="193" t="s">
        <v>282</v>
      </c>
      <c r="X341" s="275">
        <v>12000000</v>
      </c>
      <c r="Y341" s="331">
        <v>11496471</v>
      </c>
      <c r="Z341" s="332">
        <f t="shared" si="31"/>
        <v>0.95799999999999996</v>
      </c>
      <c r="AA341" s="333"/>
      <c r="AB341" s="346"/>
      <c r="AC341" s="335">
        <v>1</v>
      </c>
      <c r="AD341" s="190" t="s">
        <v>631</v>
      </c>
      <c r="AE341" s="201"/>
      <c r="AF341" s="188"/>
      <c r="AG341" s="202" t="s">
        <v>131</v>
      </c>
      <c r="AH341" s="203" t="s">
        <v>171</v>
      </c>
      <c r="AI341" s="184"/>
      <c r="AJ341" s="182" t="s">
        <v>156</v>
      </c>
      <c r="AK341" s="182" t="s">
        <v>147</v>
      </c>
      <c r="AL341" s="231" t="str">
        <f>VLOOKUP(AK341,'[3]17見直し計画'!$A$50:$AJ$584,6,0)</f>
        <v>　見直し計画策定以降の新規案件</v>
      </c>
      <c r="AM341" s="204">
        <f>VLOOKUP(AK341,'[3]17見直し計画'!$A$50:$AJ$584,8,0)</f>
        <v>0</v>
      </c>
      <c r="AN341" s="224"/>
      <c r="AO341" s="205">
        <f>VLOOKUP(AK341,'[3]17見直し計画'!$A$50:$AJ$584,11,0)</f>
        <v>0</v>
      </c>
      <c r="AP341" s="204">
        <f>VLOOKUP(AK341,'[3]17見直し計画'!$A$50:$AJ$584,12,0)</f>
        <v>0</v>
      </c>
      <c r="AQ341" s="204">
        <f>VLOOKUP(AK341,'[3]17見直し計画'!$A$50:$AJ$584,13,0)</f>
        <v>0</v>
      </c>
      <c r="AR341" s="204">
        <f>VLOOKUP(AK341,'[3]17見直し計画'!$A$50:$AJ$584,14,0)</f>
        <v>0</v>
      </c>
      <c r="AS341" s="204"/>
      <c r="AT341" s="204">
        <f>VLOOKUP(AK341,'[3]17見直し計画'!$A$50:$AJ$584,35,0)</f>
        <v>0</v>
      </c>
      <c r="AU341" s="204">
        <f>VLOOKUP(AK341,'[3]17見直し計画'!$A$50:$AJ$584,36,0)</f>
        <v>0</v>
      </c>
    </row>
    <row r="342" spans="2:47" ht="105" hidden="1" customHeight="1">
      <c r="B342" s="126" t="s">
        <v>134</v>
      </c>
      <c r="C342" s="143" t="s">
        <v>135</v>
      </c>
      <c r="D342" s="143" t="s">
        <v>136</v>
      </c>
      <c r="E342">
        <f t="shared" si="30"/>
        <v>256</v>
      </c>
      <c r="F342" s="122">
        <v>23</v>
      </c>
      <c r="G342" s="123">
        <v>23</v>
      </c>
      <c r="H342" s="238">
        <v>2200586</v>
      </c>
      <c r="I342" s="238"/>
      <c r="J342" s="238" t="s">
        <v>1527</v>
      </c>
      <c r="K342" s="238" t="s">
        <v>195</v>
      </c>
      <c r="L342" s="239" t="s">
        <v>1182</v>
      </c>
      <c r="M342" s="238" t="s">
        <v>1183</v>
      </c>
      <c r="N342" s="127" t="s">
        <v>138</v>
      </c>
      <c r="O342" s="128" t="s">
        <v>139</v>
      </c>
      <c r="P342" s="321" t="s">
        <v>122</v>
      </c>
      <c r="Q342" s="322">
        <v>23</v>
      </c>
      <c r="R342" s="130" t="s">
        <v>197</v>
      </c>
      <c r="S342" s="131" t="s">
        <v>125</v>
      </c>
      <c r="T342" s="323">
        <v>40353</v>
      </c>
      <c r="U342" s="133" t="s">
        <v>1528</v>
      </c>
      <c r="V342" s="134" t="s">
        <v>1529</v>
      </c>
      <c r="W342" s="130" t="s">
        <v>1530</v>
      </c>
      <c r="X342" s="265">
        <v>6581820</v>
      </c>
      <c r="Y342" s="241">
        <v>6581820</v>
      </c>
      <c r="Z342" s="324">
        <f t="shared" si="31"/>
        <v>1</v>
      </c>
      <c r="AA342" s="250"/>
      <c r="AB342" s="345"/>
      <c r="AC342" s="63">
        <v>2</v>
      </c>
      <c r="AD342" s="127" t="s">
        <v>1531</v>
      </c>
      <c r="AE342" s="138"/>
      <c r="AF342" s="125"/>
      <c r="AG342" s="117" t="s">
        <v>131</v>
      </c>
      <c r="AH342" s="139" t="s">
        <v>428</v>
      </c>
      <c r="AJ342" s="179" t="s">
        <v>200</v>
      </c>
      <c r="AK342" s="120" t="s">
        <v>147</v>
      </c>
      <c r="AL342" s="232" t="str">
        <f>VLOOKUP(AK342,'[3]17見直し計画'!$A$50:$AJ$584,6,0)</f>
        <v>　見直し計画策定以降の新規案件</v>
      </c>
      <c r="AM342" s="140">
        <f>VLOOKUP(AK342,'[3]17見直し計画'!$A$50:$AJ$584,8,0)</f>
        <v>0</v>
      </c>
      <c r="AN342" s="180"/>
      <c r="AO342" s="141">
        <f>VLOOKUP(AK342,'[3]17見直し計画'!$A$50:$AJ$584,11,0)</f>
        <v>0</v>
      </c>
      <c r="AP342" s="140">
        <f>VLOOKUP(AK342,'[3]17見直し計画'!$A$50:$AJ$584,12,0)</f>
        <v>0</v>
      </c>
      <c r="AQ342" s="140">
        <f>VLOOKUP(AK342,'[3]17見直し計画'!$A$50:$AJ$584,13,0)</f>
        <v>0</v>
      </c>
      <c r="AR342" s="140">
        <f>VLOOKUP(AK342,'[3]17見直し計画'!$A$50:$AJ$584,14,0)</f>
        <v>0</v>
      </c>
      <c r="AS342" s="140"/>
      <c r="AT342" s="140">
        <f>VLOOKUP(AK342,'[3]17見直し計画'!$A$50:$AJ$584,35,0)</f>
        <v>0</v>
      </c>
      <c r="AU342" s="140">
        <f>VLOOKUP(AK342,'[3]17見直し計画'!$A$50:$AJ$584,36,0)</f>
        <v>0</v>
      </c>
    </row>
    <row r="343" spans="2:47" ht="105" hidden="1" customHeight="1">
      <c r="B343" s="126" t="s">
        <v>284</v>
      </c>
      <c r="C343" s="143" t="s">
        <v>135</v>
      </c>
      <c r="D343" s="143" t="s">
        <v>136</v>
      </c>
      <c r="E343">
        <f t="shared" si="30"/>
        <v>257</v>
      </c>
      <c r="F343" s="122">
        <v>24</v>
      </c>
      <c r="G343" s="123">
        <v>24</v>
      </c>
      <c r="H343" s="238">
        <v>2200716</v>
      </c>
      <c r="I343" s="238"/>
      <c r="J343" s="238"/>
      <c r="K343" s="238" t="s">
        <v>345</v>
      </c>
      <c r="L343" s="239" t="s">
        <v>1488</v>
      </c>
      <c r="M343" s="238" t="s">
        <v>1532</v>
      </c>
      <c r="N343" s="127" t="s">
        <v>138</v>
      </c>
      <c r="O343" s="128" t="s">
        <v>139</v>
      </c>
      <c r="P343" s="321" t="s">
        <v>122</v>
      </c>
      <c r="Q343" s="322">
        <v>24</v>
      </c>
      <c r="R343" s="130" t="s">
        <v>1533</v>
      </c>
      <c r="S343" s="131" t="s">
        <v>125</v>
      </c>
      <c r="T343" s="323">
        <v>40357</v>
      </c>
      <c r="U343" s="133" t="s">
        <v>1534</v>
      </c>
      <c r="V343" s="134" t="s">
        <v>1535</v>
      </c>
      <c r="W343" s="130" t="s">
        <v>1536</v>
      </c>
      <c r="X343" s="265">
        <v>3149048</v>
      </c>
      <c r="Y343" s="241">
        <v>3101240</v>
      </c>
      <c r="Z343" s="324">
        <f t="shared" si="31"/>
        <v>0.98399999999999999</v>
      </c>
      <c r="AA343" s="250"/>
      <c r="AB343" s="348"/>
      <c r="AC343" s="63" t="s">
        <v>1445</v>
      </c>
      <c r="AD343" s="127" t="s">
        <v>146</v>
      </c>
      <c r="AE343" s="138"/>
      <c r="AF343" s="125"/>
      <c r="AG343" s="117" t="s">
        <v>131</v>
      </c>
      <c r="AH343" s="139" t="s">
        <v>132</v>
      </c>
      <c r="AJ343" s="120"/>
      <c r="AK343" s="120" t="s">
        <v>147</v>
      </c>
      <c r="AL343" s="232" t="str">
        <f>VLOOKUP(AK343,'[3]17見直し計画'!$A$50:$AJ$584,6,0)</f>
        <v>　見直し計画策定以降の新規案件</v>
      </c>
      <c r="AM343" s="140">
        <f>VLOOKUP(AK343,'[3]17見直し計画'!$A$50:$AJ$584,8,0)</f>
        <v>0</v>
      </c>
      <c r="AN343" s="180"/>
      <c r="AO343" s="141">
        <f>VLOOKUP(AK343,'[3]17見直し計画'!$A$50:$AJ$584,11,0)</f>
        <v>0</v>
      </c>
      <c r="AP343" s="140">
        <f>VLOOKUP(AK343,'[3]17見直し計画'!$A$50:$AJ$584,12,0)</f>
        <v>0</v>
      </c>
      <c r="AQ343" s="140">
        <f>VLOOKUP(AK343,'[3]17見直し計画'!$A$50:$AJ$584,13,0)</f>
        <v>0</v>
      </c>
      <c r="AR343" s="140">
        <f>VLOOKUP(AK343,'[3]17見直し計画'!$A$50:$AJ$584,14,0)</f>
        <v>0</v>
      </c>
      <c r="AS343" s="140"/>
      <c r="AT343" s="140">
        <f>VLOOKUP(AK343,'[3]17見直し計画'!$A$50:$AJ$584,35,0)</f>
        <v>0</v>
      </c>
      <c r="AU343" s="140">
        <f>VLOOKUP(AK343,'[3]17見直し計画'!$A$50:$AJ$584,36,0)</f>
        <v>0</v>
      </c>
    </row>
    <row r="344" spans="2:47" ht="105" customHeight="1">
      <c r="B344" s="143" t="s">
        <v>476</v>
      </c>
      <c r="C344" s="143" t="s">
        <v>550</v>
      </c>
      <c r="D344" s="143" t="s">
        <v>351</v>
      </c>
      <c r="E344">
        <f t="shared" si="30"/>
        <v>258</v>
      </c>
      <c r="F344" s="122">
        <v>25</v>
      </c>
      <c r="G344" s="123">
        <v>25</v>
      </c>
      <c r="H344" s="238">
        <v>2200682</v>
      </c>
      <c r="I344" s="238"/>
      <c r="J344" s="238" t="s">
        <v>1537</v>
      </c>
      <c r="K344" s="238" t="s">
        <v>1162</v>
      </c>
      <c r="L344" s="239" t="s">
        <v>1163</v>
      </c>
      <c r="M344" s="238" t="s">
        <v>1175</v>
      </c>
      <c r="N344" s="127" t="s">
        <v>138</v>
      </c>
      <c r="O344" s="128" t="s">
        <v>139</v>
      </c>
      <c r="P344" s="321" t="s">
        <v>122</v>
      </c>
      <c r="Q344" s="322">
        <v>25</v>
      </c>
      <c r="R344" s="130" t="s">
        <v>1538</v>
      </c>
      <c r="S344" s="131" t="s">
        <v>125</v>
      </c>
      <c r="T344" s="323">
        <v>40358</v>
      </c>
      <c r="U344" s="133" t="s">
        <v>1477</v>
      </c>
      <c r="V344" s="134" t="s">
        <v>1172</v>
      </c>
      <c r="W344" s="130" t="s">
        <v>1423</v>
      </c>
      <c r="X344" s="265">
        <v>5738157</v>
      </c>
      <c r="Y344" s="241">
        <v>5738157</v>
      </c>
      <c r="Z344" s="324">
        <f t="shared" si="31"/>
        <v>1</v>
      </c>
      <c r="AA344" s="250"/>
      <c r="AB344" s="345"/>
      <c r="AC344" s="63" t="s">
        <v>1445</v>
      </c>
      <c r="AD344" s="127" t="s">
        <v>146</v>
      </c>
      <c r="AE344" s="138"/>
      <c r="AF344" s="125"/>
      <c r="AG344" s="117" t="s">
        <v>131</v>
      </c>
      <c r="AH344" s="139" t="s">
        <v>132</v>
      </c>
      <c r="AJ344" s="120"/>
      <c r="AK344" s="120" t="s">
        <v>1174</v>
      </c>
      <c r="AL344" s="232" t="str">
        <f>VLOOKUP(AK344,'[3]17見直し計画'!$A$50:$AJ$584,6,0)</f>
        <v>根室市役所（根室市長　藤原　弘）</v>
      </c>
      <c r="AM344" s="140" t="str">
        <f>VLOOKUP(AK344,'[3]17見直し計画'!$A$50:$AJ$584,8,0)</f>
        <v>北方四島住民支援（平成１７年度患者受入事業：第１回目）について</v>
      </c>
      <c r="AN344" s="180">
        <f>VLOOKUP(AK344,'[3]17見直し計画'!$A$50:$AJ$584,10,0)</f>
        <v>38520</v>
      </c>
      <c r="AO344" s="141">
        <f>VLOOKUP(AK344,'[3]17見直し計画'!$A$50:$AJ$584,11,0)</f>
        <v>3098667</v>
      </c>
      <c r="AP344" s="140" t="str">
        <f>VLOOKUP(AK344,'[3]17見直し計画'!$A$50:$AJ$584,12,0)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44" s="140" t="str">
        <f>VLOOKUP(AK344,'[3]17見直し計画'!$A$50:$AJ$584,13,0)</f>
        <v>その他のもの</v>
      </c>
      <c r="AR344" s="140" t="str">
        <f>VLOOKUP(AK344,'[3]17見直し計画'!$A$50:$AJ$584,14,0)</f>
        <v>随意契約によらざるを得ないもの</v>
      </c>
      <c r="AS344" s="140"/>
      <c r="AT344" s="140" t="str">
        <f>VLOOKUP(AK344,'[3]17見直し計画'!$A$50:$AJ$584,35,0)</f>
        <v>場所が限定される賃貸借その他業務</v>
      </c>
      <c r="AU344" s="140" t="str">
        <f>VLOOKUP(AK344,'[3]17見直し計画'!$A$50:$AJ$584,36,0)</f>
        <v>ロ</v>
      </c>
    </row>
    <row r="345" spans="2:47" ht="105" hidden="1" customHeight="1">
      <c r="B345" s="152"/>
      <c r="C345" s="152"/>
      <c r="D345" s="234" t="s">
        <v>118</v>
      </c>
      <c r="E345">
        <f>SUM(E344+1)</f>
        <v>259</v>
      </c>
      <c r="F345" s="155">
        <v>26</v>
      </c>
      <c r="G345" s="156">
        <v>26</v>
      </c>
      <c r="H345" s="158">
        <v>2200698</v>
      </c>
      <c r="I345" s="158"/>
      <c r="J345" s="158" t="s">
        <v>1539</v>
      </c>
      <c r="K345" s="158" t="s">
        <v>661</v>
      </c>
      <c r="L345" s="171" t="s">
        <v>1190</v>
      </c>
      <c r="M345" s="158" t="s">
        <v>1448</v>
      </c>
      <c r="N345" s="160" t="s">
        <v>162</v>
      </c>
      <c r="O345" s="161" t="s">
        <v>121</v>
      </c>
      <c r="P345" s="337" t="s">
        <v>163</v>
      </c>
      <c r="Q345" s="338">
        <v>26</v>
      </c>
      <c r="R345" s="163" t="s">
        <v>1540</v>
      </c>
      <c r="S345" s="164" t="s">
        <v>125</v>
      </c>
      <c r="T345" s="339">
        <v>40359</v>
      </c>
      <c r="U345" s="166" t="s">
        <v>1093</v>
      </c>
      <c r="V345" s="167" t="s">
        <v>1094</v>
      </c>
      <c r="W345" s="163" t="s">
        <v>1541</v>
      </c>
      <c r="X345" s="288">
        <v>19698217</v>
      </c>
      <c r="Y345" s="340">
        <v>19698217</v>
      </c>
      <c r="Z345" s="341">
        <f t="shared" si="31"/>
        <v>1</v>
      </c>
      <c r="AA345" s="342">
        <v>0</v>
      </c>
      <c r="AB345" s="343"/>
      <c r="AC345" s="344" t="s">
        <v>1445</v>
      </c>
      <c r="AD345" s="160" t="s">
        <v>1542</v>
      </c>
      <c r="AE345" s="171"/>
      <c r="AF345" s="158"/>
      <c r="AG345" s="172" t="s">
        <v>131</v>
      </c>
      <c r="AH345" s="173" t="s">
        <v>132</v>
      </c>
      <c r="AI345" s="154"/>
      <c r="AJ345" s="152"/>
      <c r="AK345" s="152" t="s">
        <v>1474</v>
      </c>
      <c r="AL345" s="233" t="str">
        <f>VLOOKUP(AK345,'[3]17見直し計画'!$A$50:$AJ$584,6,0)</f>
        <v>独立行政法人　北方領土問題対策協会</v>
      </c>
      <c r="AM345" s="174" t="str">
        <f>VLOOKUP(AK345,'[3]17見直し計画'!$A$50:$AJ$584,8,0)</f>
        <v>北方四島住民招聘事業委嘱</v>
      </c>
      <c r="AN345" s="225" t="str">
        <f>VLOOKUP(AK345,'[3]17見直し計画'!$A$50:$AJ$584,10,0)</f>
        <v>平成17/10/07</v>
      </c>
      <c r="AO345" s="175">
        <f>VLOOKUP(AK345,'[3]17見直し計画'!$A$50:$AJ$584,11,0)</f>
        <v>37619978</v>
      </c>
      <c r="AP345" s="174" t="str">
        <f>VLOOKUP(AK345,'[3]17見直し計画'!$A$50:$AJ$584,12,0)</f>
        <v>　（独）北方領土問題対策協会（北対協）は、北方領土問題についての国民世論の啓発を行うこと等を目的として設置された組織である。北対協は、全国の各都道府県に設置されている「北方領土返還要求運動都道府県民会議」との組織的な連携を確保するとともに、返還要求運動に取り組む民間団体と緊密な連絡を図っている。当省から北対協に対して国民世論の啓発という側面も有している四島交流受入事業を委託することにより、長年にわたり世論啓発運動に従事し専門知識・ノウハウを有する北対協を通じて効果的な事業が実施できるのみならず、草の根レベルでの北方領土返還運動に従事する都道府県民会議を介する形で更に幅広い国民各層を対象とした啓発を行うことが可能となる。したがって、本事業については、当該団体と協力して実施することが政策上不可欠（会計法第29条の３第4項）</v>
      </c>
      <c r="AQ345" s="174" t="str">
        <f>VLOOKUP(AK345,'[3]17見直し計画'!$A$50:$AJ$584,13,0)</f>
        <v>その他のもの</v>
      </c>
      <c r="AR345" s="174" t="str">
        <f>VLOOKUP(AK345,'[3]17見直し計画'!$A$50:$AJ$584,14,0)</f>
        <v>ー
（随意契約によらざるを得ないもの）</v>
      </c>
      <c r="AS345" s="174"/>
      <c r="AT345" s="174">
        <f>VLOOKUP(AK345,'[3]17見直し計画'!$A$50:$AJ$584,35,0)</f>
        <v>0</v>
      </c>
      <c r="AU345" s="174">
        <f>VLOOKUP(AK345,'[3]17見直し計画'!$A$50:$AJ$584,36,0)</f>
        <v>0</v>
      </c>
    </row>
    <row r="346" spans="2:47" ht="105" customHeight="1">
      <c r="B346" s="257" t="s">
        <v>1254</v>
      </c>
      <c r="C346" s="258" t="s">
        <v>255</v>
      </c>
      <c r="D346" s="257" t="s">
        <v>351</v>
      </c>
      <c r="E346">
        <f t="shared" si="30"/>
        <v>260</v>
      </c>
      <c r="F346" s="349">
        <v>27</v>
      </c>
      <c r="G346" s="123">
        <v>27</v>
      </c>
      <c r="H346" s="245">
        <v>2200623</v>
      </c>
      <c r="I346" s="238"/>
      <c r="J346" s="245"/>
      <c r="K346" s="239" t="s">
        <v>1255</v>
      </c>
      <c r="L346" s="239" t="s">
        <v>1163</v>
      </c>
      <c r="M346" s="238"/>
      <c r="N346" s="127" t="s">
        <v>138</v>
      </c>
      <c r="O346" s="128" t="s">
        <v>139</v>
      </c>
      <c r="P346" s="321" t="s">
        <v>122</v>
      </c>
      <c r="Q346" s="350" t="s">
        <v>1543</v>
      </c>
      <c r="R346" s="351" t="s">
        <v>1544</v>
      </c>
      <c r="S346" s="263" t="s">
        <v>125</v>
      </c>
      <c r="T346" s="323">
        <v>40344</v>
      </c>
      <c r="U346" s="133" t="s">
        <v>1258</v>
      </c>
      <c r="V346" s="134" t="s">
        <v>1545</v>
      </c>
      <c r="W346" s="130" t="s">
        <v>1546</v>
      </c>
      <c r="X346" s="352">
        <v>1483296</v>
      </c>
      <c r="Y346" s="352">
        <v>1483296</v>
      </c>
      <c r="Z346" s="324">
        <f t="shared" si="31"/>
        <v>1</v>
      </c>
      <c r="AA346" s="250"/>
      <c r="AB346" s="244"/>
      <c r="AC346" s="63" t="s">
        <v>1445</v>
      </c>
      <c r="AD346" s="127" t="s">
        <v>146</v>
      </c>
      <c r="AE346" s="138"/>
      <c r="AF346" s="125"/>
      <c r="AG346" s="117" t="s">
        <v>131</v>
      </c>
      <c r="AH346" s="139" t="s">
        <v>132</v>
      </c>
      <c r="AJ346" s="120"/>
      <c r="AK346" s="120" t="s">
        <v>1261</v>
      </c>
      <c r="AL346" s="232" t="str">
        <f>VLOOKUP(AK346,'[3]17見直し計画'!$A$50:$AJ$584,6,0)</f>
        <v>株式会社ゼコー</v>
      </c>
      <c r="AM346" s="140" t="str">
        <f>VLOOKUP(AK346,'[3]17見直し計画'!$A$50:$AJ$584,8,0)</f>
        <v>外務省新庁舎防犯・入室管理・ＩＴＶ設備の保守契約</v>
      </c>
      <c r="AN346" s="180">
        <f>VLOOKUP(AK346,'[3]17見直し計画'!$A$50:$AJ$584,10,0)</f>
        <v>38443</v>
      </c>
      <c r="AO346" s="141">
        <f>VLOOKUP(AK346,'[3]17見直し計画'!$A$50:$AJ$584,11,0)</f>
        <v>4265580</v>
      </c>
      <c r="AP346" s="140" t="str">
        <f>VLOOKUP(AK346,'[3]17見直し計画'!$A$50:$AJ$584,12,0)</f>
        <v>本設備の設置工事を一括して行った会社が同設備の保守を行うものであり、他に競争を許さない（会計法第２９条の３第４項）。</v>
      </c>
      <c r="AQ346" s="140" t="str">
        <f>VLOOKUP(AK346,'[3]17見直し計画'!$A$50:$AJ$584,13,0)</f>
        <v>見直しの余地があるもの</v>
      </c>
      <c r="AR346" s="140" t="str">
        <f>VLOOKUP(AK346,'[3]17見直し計画'!$A$50:$AJ$584,14,0)</f>
        <v>競争入札への移行を検討(設備の入替時において実施検討）</v>
      </c>
      <c r="AS346" s="140"/>
      <c r="AT346" s="140">
        <f>VLOOKUP(AK346,'[3]17見直し計画'!$A$50:$AJ$584,35,0)</f>
        <v>0</v>
      </c>
      <c r="AU346" s="140">
        <f>VLOOKUP(AK346,'[3]17見直し計画'!$A$50:$AJ$584,36,0)</f>
        <v>0</v>
      </c>
    </row>
    <row r="347" spans="2:47" ht="105" hidden="1" customHeight="1">
      <c r="B347" s="152"/>
      <c r="C347" s="152"/>
      <c r="D347" s="153" t="s">
        <v>421</v>
      </c>
      <c r="E347">
        <f>SUM(E346+1)</f>
        <v>261</v>
      </c>
      <c r="F347" s="353">
        <v>1</v>
      </c>
      <c r="G347" s="156">
        <v>1</v>
      </c>
      <c r="H347" s="354">
        <v>2200685</v>
      </c>
      <c r="I347" s="158">
        <v>1</v>
      </c>
      <c r="J347" s="354" t="s">
        <v>1547</v>
      </c>
      <c r="K347" s="171" t="s">
        <v>177</v>
      </c>
      <c r="L347" s="171" t="s">
        <v>1163</v>
      </c>
      <c r="M347" s="158" t="s">
        <v>1548</v>
      </c>
      <c r="N347" s="160" t="s">
        <v>162</v>
      </c>
      <c r="O347" s="161" t="s">
        <v>121</v>
      </c>
      <c r="P347" s="337" t="s">
        <v>163</v>
      </c>
      <c r="Q347" s="355">
        <v>1</v>
      </c>
      <c r="R347" s="356" t="s">
        <v>1549</v>
      </c>
      <c r="S347" s="286" t="s">
        <v>125</v>
      </c>
      <c r="T347" s="339">
        <v>40360</v>
      </c>
      <c r="U347" s="166" t="s">
        <v>180</v>
      </c>
      <c r="V347" s="167" t="s">
        <v>181</v>
      </c>
      <c r="W347" s="163" t="s">
        <v>1550</v>
      </c>
      <c r="X347" s="357">
        <v>102151335</v>
      </c>
      <c r="Y347" s="357">
        <v>102151335</v>
      </c>
      <c r="Z347" s="358">
        <f>ROUNDDOWN(Y347/X347,3)</f>
        <v>1</v>
      </c>
      <c r="AA347" s="359">
        <v>0</v>
      </c>
      <c r="AB347" s="360"/>
      <c r="AC347" s="354">
        <v>1</v>
      </c>
      <c r="AD347" s="170" t="s">
        <v>170</v>
      </c>
      <c r="AE347" s="171"/>
      <c r="AF347" s="158"/>
      <c r="AG347" s="152" t="s">
        <v>131</v>
      </c>
      <c r="AH347" s="361" t="s">
        <v>171</v>
      </c>
      <c r="AI347" s="154"/>
      <c r="AJ347" s="152"/>
      <c r="AK347" s="152" t="s">
        <v>147</v>
      </c>
      <c r="AL347" s="233" t="str">
        <f>VLOOKUP(AK347,'[3]17見直し計画'!$A$50:$AJ$584,6,0)</f>
        <v>　見直し計画策定以降の新規案件</v>
      </c>
      <c r="AM347" s="174">
        <f>VLOOKUP(AK347,'[3]17見直し計画'!$A$50:$AJ$584,8,0)</f>
        <v>0</v>
      </c>
      <c r="AN347" s="225"/>
      <c r="AO347" s="175">
        <f>VLOOKUP(AK347,'[3]17見直し計画'!$A$50:$AJ$584,11,0)</f>
        <v>0</v>
      </c>
      <c r="AP347" s="174">
        <f>VLOOKUP(AK347,'[3]17見直し計画'!$A$50:$AJ$584,12,0)</f>
        <v>0</v>
      </c>
      <c r="AQ347" s="174">
        <f>VLOOKUP(AK347,'[3]17見直し計画'!$A$50:$AJ$584,13,0)</f>
        <v>0</v>
      </c>
      <c r="AR347" s="174">
        <f>VLOOKUP(AK347,'[3]17見直し計画'!$A$50:$AJ$584,14,0)</f>
        <v>0</v>
      </c>
      <c r="AS347" s="174"/>
      <c r="AT347" s="174">
        <f>VLOOKUP(AK347,'[3]17見直し計画'!$A$50:$AJ$584,35,0)</f>
        <v>0</v>
      </c>
      <c r="AU347" s="174">
        <f>VLOOKUP(AK347,'[3]17見直し計画'!$A$50:$AJ$584,36,0)</f>
        <v>0</v>
      </c>
    </row>
    <row r="348" spans="2:47" ht="105" hidden="1" customHeight="1">
      <c r="B348" s="182"/>
      <c r="C348" s="182"/>
      <c r="D348" s="223" t="s">
        <v>227</v>
      </c>
      <c r="E348">
        <f t="shared" si="30"/>
        <v>262</v>
      </c>
      <c r="F348" s="362">
        <v>2</v>
      </c>
      <c r="G348" s="186">
        <v>2</v>
      </c>
      <c r="H348" s="363">
        <v>2200678</v>
      </c>
      <c r="I348" s="188">
        <v>1</v>
      </c>
      <c r="J348" s="363" t="s">
        <v>1551</v>
      </c>
      <c r="K348" s="201" t="s">
        <v>1085</v>
      </c>
      <c r="L348" s="201" t="s">
        <v>1163</v>
      </c>
      <c r="M348" s="188" t="s">
        <v>1164</v>
      </c>
      <c r="N348" s="190" t="s">
        <v>230</v>
      </c>
      <c r="O348" s="191" t="s">
        <v>139</v>
      </c>
      <c r="P348" s="328" t="s">
        <v>231</v>
      </c>
      <c r="Q348" s="364">
        <v>2</v>
      </c>
      <c r="R348" s="365" t="s">
        <v>1552</v>
      </c>
      <c r="S348" s="273" t="s">
        <v>125</v>
      </c>
      <c r="T348" s="330">
        <v>40360</v>
      </c>
      <c r="U348" s="196" t="s">
        <v>1304</v>
      </c>
      <c r="V348" s="197" t="s">
        <v>1305</v>
      </c>
      <c r="W348" s="193" t="s">
        <v>282</v>
      </c>
      <c r="X348" s="366">
        <v>4920000</v>
      </c>
      <c r="Y348" s="366">
        <v>4917181</v>
      </c>
      <c r="Z348" s="367">
        <f t="shared" ref="Z348:Z369" si="32">ROUNDDOWN(Y348/X348,3)</f>
        <v>0.999</v>
      </c>
      <c r="AA348" s="333"/>
      <c r="AB348" s="368"/>
      <c r="AC348" s="363">
        <v>1</v>
      </c>
      <c r="AD348" s="200" t="s">
        <v>631</v>
      </c>
      <c r="AE348" s="201"/>
      <c r="AF348" s="188"/>
      <c r="AG348" s="182" t="s">
        <v>131</v>
      </c>
      <c r="AH348" s="369" t="s">
        <v>171</v>
      </c>
      <c r="AI348" s="184"/>
      <c r="AJ348" s="182"/>
      <c r="AK348" s="182" t="s">
        <v>147</v>
      </c>
      <c r="AL348" s="231" t="str">
        <f>VLOOKUP(AK348,'[3]17見直し計画'!$A$50:$AJ$584,6,0)</f>
        <v>　見直し計画策定以降の新規案件</v>
      </c>
      <c r="AM348" s="204">
        <f>VLOOKUP(AK348,'[3]17見直し計画'!$A$50:$AJ$584,8,0)</f>
        <v>0</v>
      </c>
      <c r="AN348" s="224"/>
      <c r="AO348" s="205">
        <f>VLOOKUP(AK348,'[3]17見直し計画'!$A$50:$AJ$584,11,0)</f>
        <v>0</v>
      </c>
      <c r="AP348" s="204">
        <f>VLOOKUP(AK348,'[3]17見直し計画'!$A$50:$AJ$584,12,0)</f>
        <v>0</v>
      </c>
      <c r="AQ348" s="204">
        <f>VLOOKUP(AK348,'[3]17見直し計画'!$A$50:$AJ$584,13,0)</f>
        <v>0</v>
      </c>
      <c r="AR348" s="204">
        <f>VLOOKUP(AK348,'[3]17見直し計画'!$A$50:$AJ$584,14,0)</f>
        <v>0</v>
      </c>
      <c r="AS348" s="204"/>
      <c r="AT348" s="204">
        <f>VLOOKUP(AK348,'[3]17見直し計画'!$A$50:$AJ$584,35,0)</f>
        <v>0</v>
      </c>
      <c r="AU348" s="204">
        <f>VLOOKUP(AK348,'[3]17見直し計画'!$A$50:$AJ$584,36,0)</f>
        <v>0</v>
      </c>
    </row>
    <row r="349" spans="2:47" ht="105" hidden="1" customHeight="1">
      <c r="B349" s="182"/>
      <c r="C349" s="182"/>
      <c r="D349" s="223" t="s">
        <v>421</v>
      </c>
      <c r="E349">
        <f t="shared" si="30"/>
        <v>263</v>
      </c>
      <c r="F349" s="362">
        <v>3</v>
      </c>
      <c r="G349" s="186">
        <v>3</v>
      </c>
      <c r="H349" s="363">
        <v>2200676</v>
      </c>
      <c r="I349" s="188">
        <v>1</v>
      </c>
      <c r="J349" s="363" t="s">
        <v>1553</v>
      </c>
      <c r="K349" s="201" t="s">
        <v>1085</v>
      </c>
      <c r="L349" s="201" t="s">
        <v>1163</v>
      </c>
      <c r="M349" s="188" t="s">
        <v>1164</v>
      </c>
      <c r="N349" s="190" t="s">
        <v>230</v>
      </c>
      <c r="O349" s="191" t="s">
        <v>139</v>
      </c>
      <c r="P349" s="328" t="s">
        <v>231</v>
      </c>
      <c r="Q349" s="364">
        <v>3</v>
      </c>
      <c r="R349" s="365" t="s">
        <v>1554</v>
      </c>
      <c r="S349" s="273" t="s">
        <v>125</v>
      </c>
      <c r="T349" s="330">
        <v>40360</v>
      </c>
      <c r="U349" s="196" t="s">
        <v>1296</v>
      </c>
      <c r="V349" s="197" t="s">
        <v>1297</v>
      </c>
      <c r="W349" s="193" t="s">
        <v>282</v>
      </c>
      <c r="X349" s="366">
        <v>4920000</v>
      </c>
      <c r="Y349" s="366">
        <v>4912630</v>
      </c>
      <c r="Z349" s="367">
        <f t="shared" si="32"/>
        <v>0.998</v>
      </c>
      <c r="AA349" s="333"/>
      <c r="AB349" s="368"/>
      <c r="AC349" s="363">
        <v>1</v>
      </c>
      <c r="AD349" s="200" t="s">
        <v>631</v>
      </c>
      <c r="AE349" s="201"/>
      <c r="AF349" s="188"/>
      <c r="AG349" s="182" t="s">
        <v>131</v>
      </c>
      <c r="AH349" s="369" t="s">
        <v>171</v>
      </c>
      <c r="AI349" s="184"/>
      <c r="AJ349" s="182"/>
      <c r="AK349" s="182" t="s">
        <v>147</v>
      </c>
      <c r="AL349" s="231" t="str">
        <f>VLOOKUP(AK349,'[3]17見直し計画'!$A$50:$AJ$584,6,0)</f>
        <v>　見直し計画策定以降の新規案件</v>
      </c>
      <c r="AM349" s="204">
        <f>VLOOKUP(AK349,'[3]17見直し計画'!$A$50:$AJ$584,8,0)</f>
        <v>0</v>
      </c>
      <c r="AN349" s="224"/>
      <c r="AO349" s="205">
        <f>VLOOKUP(AK349,'[3]17見直し計画'!$A$50:$AJ$584,11,0)</f>
        <v>0</v>
      </c>
      <c r="AP349" s="204">
        <f>VLOOKUP(AK349,'[3]17見直し計画'!$A$50:$AJ$584,12,0)</f>
        <v>0</v>
      </c>
      <c r="AQ349" s="204">
        <f>VLOOKUP(AK349,'[3]17見直し計画'!$A$50:$AJ$584,13,0)</f>
        <v>0</v>
      </c>
      <c r="AR349" s="204">
        <f>VLOOKUP(AK349,'[3]17見直し計画'!$A$50:$AJ$584,14,0)</f>
        <v>0</v>
      </c>
      <c r="AS349" s="204"/>
      <c r="AT349" s="204">
        <f>VLOOKUP(AK349,'[3]17見直し計画'!$A$50:$AJ$584,35,0)</f>
        <v>0</v>
      </c>
      <c r="AU349" s="204">
        <f>VLOOKUP(AK349,'[3]17見直し計画'!$A$50:$AJ$584,36,0)</f>
        <v>0</v>
      </c>
    </row>
    <row r="350" spans="2:47" ht="105" hidden="1" customHeight="1">
      <c r="B350" s="182"/>
      <c r="C350" s="182"/>
      <c r="D350" s="223" t="s">
        <v>421</v>
      </c>
      <c r="E350">
        <f t="shared" si="30"/>
        <v>264</v>
      </c>
      <c r="F350" s="362">
        <v>4</v>
      </c>
      <c r="G350" s="186">
        <v>4</v>
      </c>
      <c r="H350" s="363">
        <v>2200677</v>
      </c>
      <c r="I350" s="188">
        <v>1</v>
      </c>
      <c r="J350" s="363" t="s">
        <v>1555</v>
      </c>
      <c r="K350" s="201" t="s">
        <v>1085</v>
      </c>
      <c r="L350" s="201" t="s">
        <v>1163</v>
      </c>
      <c r="M350" s="188" t="s">
        <v>1164</v>
      </c>
      <c r="N350" s="190" t="s">
        <v>230</v>
      </c>
      <c r="O350" s="191" t="s">
        <v>139</v>
      </c>
      <c r="P350" s="328" t="s">
        <v>231</v>
      </c>
      <c r="Q350" s="364">
        <v>4</v>
      </c>
      <c r="R350" s="365" t="s">
        <v>1556</v>
      </c>
      <c r="S350" s="273" t="s">
        <v>125</v>
      </c>
      <c r="T350" s="330">
        <v>40360</v>
      </c>
      <c r="U350" s="196" t="s">
        <v>1557</v>
      </c>
      <c r="V350" s="197" t="s">
        <v>1558</v>
      </c>
      <c r="W350" s="193" t="s">
        <v>282</v>
      </c>
      <c r="X350" s="366">
        <v>4920000</v>
      </c>
      <c r="Y350" s="366">
        <v>4209520</v>
      </c>
      <c r="Z350" s="367">
        <f t="shared" si="32"/>
        <v>0.85499999999999998</v>
      </c>
      <c r="AA350" s="333"/>
      <c r="AB350" s="368"/>
      <c r="AC350" s="363">
        <v>1</v>
      </c>
      <c r="AD350" s="200" t="s">
        <v>631</v>
      </c>
      <c r="AE350" s="201"/>
      <c r="AF350" s="188"/>
      <c r="AG350" s="182" t="s">
        <v>131</v>
      </c>
      <c r="AH350" s="369" t="s">
        <v>171</v>
      </c>
      <c r="AI350" s="184"/>
      <c r="AJ350" s="182"/>
      <c r="AK350" s="182" t="s">
        <v>147</v>
      </c>
      <c r="AL350" s="231" t="str">
        <f>VLOOKUP(AK350,'[3]17見直し計画'!$A$50:$AJ$584,6,0)</f>
        <v>　見直し計画策定以降の新規案件</v>
      </c>
      <c r="AM350" s="204">
        <f>VLOOKUP(AK350,'[3]17見直し計画'!$A$50:$AJ$584,8,0)</f>
        <v>0</v>
      </c>
      <c r="AN350" s="224"/>
      <c r="AO350" s="205">
        <f>VLOOKUP(AK350,'[3]17見直し計画'!$A$50:$AJ$584,11,0)</f>
        <v>0</v>
      </c>
      <c r="AP350" s="204">
        <f>VLOOKUP(AK350,'[3]17見直し計画'!$A$50:$AJ$584,12,0)</f>
        <v>0</v>
      </c>
      <c r="AQ350" s="204">
        <f>VLOOKUP(AK350,'[3]17見直し計画'!$A$50:$AJ$584,13,0)</f>
        <v>0</v>
      </c>
      <c r="AR350" s="204">
        <f>VLOOKUP(AK350,'[3]17見直し計画'!$A$50:$AJ$584,14,0)</f>
        <v>0</v>
      </c>
      <c r="AS350" s="204"/>
      <c r="AT350" s="204">
        <f>VLOOKUP(AK350,'[3]17見直し計画'!$A$50:$AJ$584,35,0)</f>
        <v>0</v>
      </c>
      <c r="AU350" s="204">
        <f>VLOOKUP(AK350,'[3]17見直し計画'!$A$50:$AJ$584,36,0)</f>
        <v>0</v>
      </c>
    </row>
    <row r="351" spans="2:47" ht="105" hidden="1" customHeight="1">
      <c r="B351" s="126" t="s">
        <v>134</v>
      </c>
      <c r="C351" s="120" t="s">
        <v>135</v>
      </c>
      <c r="D351" s="143" t="s">
        <v>136</v>
      </c>
      <c r="E351">
        <f t="shared" si="30"/>
        <v>265</v>
      </c>
      <c r="F351" s="370">
        <v>5</v>
      </c>
      <c r="G351" s="371">
        <v>5</v>
      </c>
      <c r="H351" s="372">
        <v>2200797</v>
      </c>
      <c r="I351" s="125">
        <v>1</v>
      </c>
      <c r="J351" s="372" t="s">
        <v>1559</v>
      </c>
      <c r="K351" s="138" t="s">
        <v>195</v>
      </c>
      <c r="L351" s="138" t="s">
        <v>1202</v>
      </c>
      <c r="M351" s="125" t="s">
        <v>1346</v>
      </c>
      <c r="N351" s="127" t="s">
        <v>138</v>
      </c>
      <c r="O351" s="128" t="s">
        <v>139</v>
      </c>
      <c r="P351" s="321" t="s">
        <v>122</v>
      </c>
      <c r="Q351" s="373">
        <v>5</v>
      </c>
      <c r="R351" s="374" t="s">
        <v>1560</v>
      </c>
      <c r="S351" s="375" t="s">
        <v>125</v>
      </c>
      <c r="T351" s="376">
        <v>40360</v>
      </c>
      <c r="U351" s="214" t="s">
        <v>222</v>
      </c>
      <c r="V351" s="215" t="s">
        <v>333</v>
      </c>
      <c r="W351" s="211" t="s">
        <v>1561</v>
      </c>
      <c r="X351" s="377">
        <v>3946320</v>
      </c>
      <c r="Y351" s="377">
        <v>3946320</v>
      </c>
      <c r="Z351" s="378">
        <f t="shared" si="32"/>
        <v>1</v>
      </c>
      <c r="AA351" s="379"/>
      <c r="AB351" s="380"/>
      <c r="AC351" s="372" t="s">
        <v>129</v>
      </c>
      <c r="AD351" s="137" t="s">
        <v>146</v>
      </c>
      <c r="AE351" s="138"/>
      <c r="AF351" s="125"/>
      <c r="AG351" s="120" t="s">
        <v>131</v>
      </c>
      <c r="AH351" s="381" t="s">
        <v>132</v>
      </c>
      <c r="AJ351" s="120"/>
      <c r="AK351" s="120" t="s">
        <v>147</v>
      </c>
      <c r="AL351" s="232" t="str">
        <f>VLOOKUP(AK351,'[3]17見直し計画'!$A$50:$AJ$584,6,0)</f>
        <v>　見直し計画策定以降の新規案件</v>
      </c>
      <c r="AM351" s="140">
        <f>VLOOKUP(AK351,'[3]17見直し計画'!$A$50:$AJ$584,8,0)</f>
        <v>0</v>
      </c>
      <c r="AN351" s="180"/>
      <c r="AO351" s="141">
        <f>VLOOKUP(AK351,'[3]17見直し計画'!$A$50:$AJ$584,11,0)</f>
        <v>0</v>
      </c>
      <c r="AP351" s="140">
        <f>VLOOKUP(AK351,'[3]17見直し計画'!$A$50:$AJ$584,12,0)</f>
        <v>0</v>
      </c>
      <c r="AQ351" s="140">
        <f>VLOOKUP(AK351,'[3]17見直し計画'!$A$50:$AJ$584,13,0)</f>
        <v>0</v>
      </c>
      <c r="AR351" s="140">
        <f>VLOOKUP(AK351,'[3]17見直し計画'!$A$50:$AJ$584,14,0)</f>
        <v>0</v>
      </c>
      <c r="AS351" s="140"/>
      <c r="AT351" s="140">
        <f>VLOOKUP(AK351,'[3]17見直し計画'!$A$50:$AJ$584,35,0)</f>
        <v>0</v>
      </c>
      <c r="AU351" s="140">
        <f>VLOOKUP(AK351,'[3]17見直し計画'!$A$50:$AJ$584,36,0)</f>
        <v>0</v>
      </c>
    </row>
    <row r="352" spans="2:47" ht="105" hidden="1" customHeight="1">
      <c r="B352" s="182"/>
      <c r="C352" s="182"/>
      <c r="D352" s="223" t="s">
        <v>1124</v>
      </c>
      <c r="E352">
        <f t="shared" si="30"/>
        <v>266</v>
      </c>
      <c r="F352" s="362">
        <v>6</v>
      </c>
      <c r="G352" s="186">
        <v>6</v>
      </c>
      <c r="H352" s="363">
        <v>2200657</v>
      </c>
      <c r="I352" s="188">
        <v>1</v>
      </c>
      <c r="J352" s="363" t="s">
        <v>1562</v>
      </c>
      <c r="K352" s="201" t="s">
        <v>746</v>
      </c>
      <c r="L352" s="201" t="s">
        <v>1163</v>
      </c>
      <c r="M352" s="188" t="s">
        <v>1164</v>
      </c>
      <c r="N352" s="190" t="s">
        <v>230</v>
      </c>
      <c r="O352" s="191" t="s">
        <v>139</v>
      </c>
      <c r="P352" s="328" t="s">
        <v>231</v>
      </c>
      <c r="Q352" s="364">
        <v>6</v>
      </c>
      <c r="R352" s="365" t="s">
        <v>1563</v>
      </c>
      <c r="S352" s="273" t="s">
        <v>125</v>
      </c>
      <c r="T352" s="330">
        <v>40360</v>
      </c>
      <c r="U352" s="196" t="s">
        <v>756</v>
      </c>
      <c r="V352" s="197" t="s">
        <v>757</v>
      </c>
      <c r="W352" s="193" t="s">
        <v>282</v>
      </c>
      <c r="X352" s="366">
        <v>2600000</v>
      </c>
      <c r="Y352" s="366">
        <v>2437516</v>
      </c>
      <c r="Z352" s="367">
        <f t="shared" si="32"/>
        <v>0.93700000000000006</v>
      </c>
      <c r="AA352" s="333"/>
      <c r="AB352" s="368"/>
      <c r="AC352" s="363">
        <v>3</v>
      </c>
      <c r="AD352" s="200" t="s">
        <v>237</v>
      </c>
      <c r="AE352" s="201"/>
      <c r="AF352" s="188"/>
      <c r="AG352" s="182" t="s">
        <v>131</v>
      </c>
      <c r="AH352" s="369" t="s">
        <v>238</v>
      </c>
      <c r="AI352" s="184"/>
      <c r="AJ352" s="182"/>
      <c r="AK352" s="182" t="s">
        <v>1564</v>
      </c>
      <c r="AL352" s="231" t="str">
        <f>VLOOKUP(AK352,'[3]17見直し計画'!$A$50:$AJ$584,6,0)</f>
        <v>株式会社アヴァンティスタッフ</v>
      </c>
      <c r="AM352" s="204" t="str">
        <f>VLOOKUP(AK352,'[3]17見直し計画'!$A$50:$AJ$584,8,0)</f>
        <v>「非英語研修職員のための夏期英語集中研修」契約</v>
      </c>
      <c r="AN352" s="224">
        <f>VLOOKUP(AK352,'[3]17見直し計画'!$A$50:$AJ$584,10,0)</f>
        <v>38558</v>
      </c>
      <c r="AO352" s="205">
        <f>VLOOKUP(AK352,'[3]17見直し計画'!$A$50:$AJ$584,11,0)</f>
        <v>3229827</v>
      </c>
      <c r="AP352" s="204" t="str">
        <f>VLOOKUP(AK352,'[3]17見直し計画'!$A$50:$AJ$584,12,0)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352" s="204" t="str">
        <f>VLOOKUP(AK352,'[3]17見直し計画'!$A$50:$AJ$584,13,0)</f>
        <v>見直しの余地があるもの</v>
      </c>
      <c r="AR352" s="204" t="str">
        <f>VLOOKUP(AK352,'[3]17見直し計画'!$A$50:$AJ$584,14,0)</f>
        <v>企画招請を実施（１８年度以降も引き続き実施）</v>
      </c>
      <c r="AS352" s="204"/>
      <c r="AT352" s="204">
        <f>VLOOKUP(AK352,'[3]17見直し計画'!$A$50:$AJ$584,35,0)</f>
        <v>0</v>
      </c>
      <c r="AU352" s="204">
        <f>VLOOKUP(AK352,'[3]17見直し計画'!$A$50:$AJ$584,36,0)</f>
        <v>0</v>
      </c>
    </row>
    <row r="353" spans="1:47" ht="105" hidden="1" customHeight="1">
      <c r="B353" s="126" t="s">
        <v>218</v>
      </c>
      <c r="C353" s="120" t="s">
        <v>135</v>
      </c>
      <c r="D353" s="143" t="s">
        <v>136</v>
      </c>
      <c r="E353">
        <f t="shared" si="30"/>
        <v>267</v>
      </c>
      <c r="F353" s="349">
        <v>7</v>
      </c>
      <c r="G353" s="123">
        <v>7</v>
      </c>
      <c r="H353" s="245">
        <v>2200728</v>
      </c>
      <c r="I353" s="238">
        <v>1</v>
      </c>
      <c r="J353" s="245" t="s">
        <v>1565</v>
      </c>
      <c r="K353" s="239" t="s">
        <v>229</v>
      </c>
      <c r="L353" s="239" t="s">
        <v>1190</v>
      </c>
      <c r="M353" s="238" t="s">
        <v>1381</v>
      </c>
      <c r="N353" s="127" t="s">
        <v>138</v>
      </c>
      <c r="O353" s="128" t="s">
        <v>139</v>
      </c>
      <c r="P353" s="321" t="s">
        <v>122</v>
      </c>
      <c r="Q353" s="382">
        <v>7</v>
      </c>
      <c r="R353" s="351" t="s">
        <v>1566</v>
      </c>
      <c r="S353" s="263" t="s">
        <v>125</v>
      </c>
      <c r="T353" s="323">
        <v>40365</v>
      </c>
      <c r="U353" s="133" t="s">
        <v>1304</v>
      </c>
      <c r="V353" s="134" t="s">
        <v>1305</v>
      </c>
      <c r="W353" s="130" t="s">
        <v>1567</v>
      </c>
      <c r="X353" s="352">
        <v>4499736</v>
      </c>
      <c r="Y353" s="352">
        <v>4499736</v>
      </c>
      <c r="Z353" s="383">
        <f t="shared" si="32"/>
        <v>1</v>
      </c>
      <c r="AA353" s="250"/>
      <c r="AB353" s="244"/>
      <c r="AC353" s="245" t="s">
        <v>129</v>
      </c>
      <c r="AD353" s="137" t="s">
        <v>146</v>
      </c>
      <c r="AE353" s="138"/>
      <c r="AF353" s="125"/>
      <c r="AG353" s="120" t="s">
        <v>131</v>
      </c>
      <c r="AH353" s="381" t="s">
        <v>132</v>
      </c>
      <c r="AJ353" s="120"/>
      <c r="AK353" s="120" t="s">
        <v>147</v>
      </c>
      <c r="AL353" s="232" t="str">
        <f>VLOOKUP(AK353,'[3]17見直し計画'!$A$50:$AJ$584,6,0)</f>
        <v>　見直し計画策定以降の新規案件</v>
      </c>
      <c r="AM353" s="140">
        <f>VLOOKUP(AK353,'[3]17見直し計画'!$A$50:$AJ$584,8,0)</f>
        <v>0</v>
      </c>
      <c r="AN353" s="180"/>
      <c r="AO353" s="141">
        <f>VLOOKUP(AK353,'[3]17見直し計画'!$A$50:$AJ$584,11,0)</f>
        <v>0</v>
      </c>
      <c r="AP353" s="140">
        <f>VLOOKUP(AK353,'[3]17見直し計画'!$A$50:$AJ$584,12,0)</f>
        <v>0</v>
      </c>
      <c r="AQ353" s="140">
        <f>VLOOKUP(AK353,'[3]17見直し計画'!$A$50:$AJ$584,13,0)</f>
        <v>0</v>
      </c>
      <c r="AR353" s="140">
        <f>VLOOKUP(AK353,'[3]17見直し計画'!$A$50:$AJ$584,14,0)</f>
        <v>0</v>
      </c>
      <c r="AS353" s="140"/>
      <c r="AT353" s="140">
        <f>VLOOKUP(AK353,'[3]17見直し計画'!$A$50:$AJ$584,35,0)</f>
        <v>0</v>
      </c>
      <c r="AU353" s="140">
        <f>VLOOKUP(AK353,'[3]17見直し計画'!$A$50:$AJ$584,36,0)</f>
        <v>0</v>
      </c>
    </row>
    <row r="354" spans="1:47" ht="105" hidden="1" customHeight="1">
      <c r="B354" s="152"/>
      <c r="C354" s="152"/>
      <c r="D354" s="153" t="s">
        <v>421</v>
      </c>
      <c r="E354">
        <f t="shared" si="30"/>
        <v>268</v>
      </c>
      <c r="F354" s="353">
        <v>8</v>
      </c>
      <c r="G354" s="156">
        <v>8</v>
      </c>
      <c r="H354" s="354">
        <v>2200749</v>
      </c>
      <c r="I354" s="158">
        <v>1</v>
      </c>
      <c r="J354" s="354" t="s">
        <v>1568</v>
      </c>
      <c r="K354" s="171" t="s">
        <v>932</v>
      </c>
      <c r="L354" s="171" t="s">
        <v>1163</v>
      </c>
      <c r="M354" s="158"/>
      <c r="N354" s="160" t="s">
        <v>162</v>
      </c>
      <c r="O354" s="161" t="s">
        <v>121</v>
      </c>
      <c r="P354" s="337" t="s">
        <v>163</v>
      </c>
      <c r="Q354" s="355">
        <v>8</v>
      </c>
      <c r="R354" s="356" t="s">
        <v>1569</v>
      </c>
      <c r="S354" s="286" t="s">
        <v>125</v>
      </c>
      <c r="T354" s="339">
        <v>40366</v>
      </c>
      <c r="U354" s="166" t="s">
        <v>1570</v>
      </c>
      <c r="V354" s="167" t="s">
        <v>1571</v>
      </c>
      <c r="W354" s="163" t="s">
        <v>1572</v>
      </c>
      <c r="X354" s="357">
        <v>223155884</v>
      </c>
      <c r="Y354" s="357">
        <v>223155884</v>
      </c>
      <c r="Z354" s="358">
        <f t="shared" si="32"/>
        <v>1</v>
      </c>
      <c r="AA354" s="342">
        <v>1</v>
      </c>
      <c r="AB354" s="360"/>
      <c r="AC354" s="354">
        <v>1</v>
      </c>
      <c r="AD354" s="170" t="s">
        <v>170</v>
      </c>
      <c r="AE354" s="171"/>
      <c r="AF354" s="158"/>
      <c r="AG354" s="152" t="s">
        <v>131</v>
      </c>
      <c r="AH354" s="361" t="s">
        <v>171</v>
      </c>
      <c r="AI354" s="154"/>
      <c r="AJ354" s="152"/>
      <c r="AK354" s="152" t="s">
        <v>147</v>
      </c>
      <c r="AL354" s="233" t="str">
        <f>VLOOKUP(AK354,'[3]17見直し計画'!$A$50:$AJ$584,6,0)</f>
        <v>　見直し計画策定以降の新規案件</v>
      </c>
      <c r="AM354" s="174">
        <f>VLOOKUP(AK354,'[3]17見直し計画'!$A$50:$AJ$584,8,0)</f>
        <v>0</v>
      </c>
      <c r="AN354" s="225"/>
      <c r="AO354" s="175">
        <f>VLOOKUP(AK354,'[3]17見直し計画'!$A$50:$AJ$584,11,0)</f>
        <v>0</v>
      </c>
      <c r="AP354" s="174">
        <f>VLOOKUP(AK354,'[3]17見直し計画'!$A$50:$AJ$584,12,0)</f>
        <v>0</v>
      </c>
      <c r="AQ354" s="174">
        <f>VLOOKUP(AK354,'[3]17見直し計画'!$A$50:$AJ$584,13,0)</f>
        <v>0</v>
      </c>
      <c r="AR354" s="174">
        <f>VLOOKUP(AK354,'[3]17見直し計画'!$A$50:$AJ$584,14,0)</f>
        <v>0</v>
      </c>
      <c r="AS354" s="174"/>
      <c r="AT354" s="174">
        <f>VLOOKUP(AK354,'[3]17見直し計画'!$A$50:$AJ$584,35,0)</f>
        <v>0</v>
      </c>
      <c r="AU354" s="174">
        <f>VLOOKUP(AK354,'[3]17見直し計画'!$A$50:$AJ$584,36,0)</f>
        <v>0</v>
      </c>
    </row>
    <row r="355" spans="1:47" ht="105" hidden="1" customHeight="1">
      <c r="A355" t="s">
        <v>633</v>
      </c>
      <c r="B355" s="182"/>
      <c r="C355" s="182"/>
      <c r="D355" s="223" t="s">
        <v>421</v>
      </c>
      <c r="E355">
        <f t="shared" si="30"/>
        <v>269</v>
      </c>
      <c r="F355" s="362">
        <v>9</v>
      </c>
      <c r="G355" s="186">
        <v>9</v>
      </c>
      <c r="H355" s="363">
        <v>2200792</v>
      </c>
      <c r="I355" s="188">
        <v>1</v>
      </c>
      <c r="J355" s="363"/>
      <c r="K355" s="201" t="s">
        <v>501</v>
      </c>
      <c r="L355" s="201" t="s">
        <v>1202</v>
      </c>
      <c r="M355" s="188" t="s">
        <v>1203</v>
      </c>
      <c r="N355" s="190" t="s">
        <v>230</v>
      </c>
      <c r="O355" s="191" t="s">
        <v>139</v>
      </c>
      <c r="P355" s="328" t="s">
        <v>231</v>
      </c>
      <c r="Q355" s="364">
        <v>9</v>
      </c>
      <c r="R355" s="365" t="s">
        <v>1573</v>
      </c>
      <c r="S355" s="273" t="s">
        <v>125</v>
      </c>
      <c r="T355" s="330">
        <v>40367</v>
      </c>
      <c r="U355" s="196" t="s">
        <v>234</v>
      </c>
      <c r="V355" s="197" t="s">
        <v>235</v>
      </c>
      <c r="W355" s="193" t="s">
        <v>282</v>
      </c>
      <c r="X355" s="366">
        <v>30000000</v>
      </c>
      <c r="Y355" s="384">
        <v>12373243</v>
      </c>
      <c r="Z355" s="367">
        <f t="shared" si="32"/>
        <v>0.41199999999999998</v>
      </c>
      <c r="AA355" s="333"/>
      <c r="AB355" s="385" t="s">
        <v>1574</v>
      </c>
      <c r="AC355" s="363">
        <v>19</v>
      </c>
      <c r="AD355" s="200" t="s">
        <v>237</v>
      </c>
      <c r="AE355" s="201"/>
      <c r="AF355" s="188"/>
      <c r="AG355" s="182" t="s">
        <v>131</v>
      </c>
      <c r="AH355" s="369" t="s">
        <v>238</v>
      </c>
      <c r="AI355" s="184" t="s">
        <v>156</v>
      </c>
      <c r="AJ355" s="182"/>
      <c r="AK355" s="182" t="s">
        <v>147</v>
      </c>
      <c r="AL355" s="231" t="str">
        <f>VLOOKUP(AK355,'[3]17見直し計画'!$A$50:$AJ$584,6,0)</f>
        <v>　見直し計画策定以降の新規案件</v>
      </c>
      <c r="AM355" s="204">
        <f>VLOOKUP(AK355,'[3]17見直し計画'!$A$50:$AJ$584,8,0)</f>
        <v>0</v>
      </c>
      <c r="AN355" s="224"/>
      <c r="AO355" s="205">
        <f>VLOOKUP(AK355,'[3]17見直し計画'!$A$50:$AJ$584,11,0)</f>
        <v>0</v>
      </c>
      <c r="AP355" s="204">
        <f>VLOOKUP(AK355,'[3]17見直し計画'!$A$50:$AJ$584,12,0)</f>
        <v>0</v>
      </c>
      <c r="AQ355" s="204">
        <f>VLOOKUP(AK355,'[3]17見直し計画'!$A$50:$AJ$584,13,0)</f>
        <v>0</v>
      </c>
      <c r="AR355" s="204">
        <f>VLOOKUP(AK355,'[3]17見直し計画'!$A$50:$AJ$584,14,0)</f>
        <v>0</v>
      </c>
      <c r="AS355" s="204"/>
      <c r="AT355" s="204">
        <f>VLOOKUP(AK355,'[3]17見直し計画'!$A$50:$AJ$584,35,0)</f>
        <v>0</v>
      </c>
      <c r="AU355" s="204">
        <f>VLOOKUP(AK355,'[3]17見直し計画'!$A$50:$AJ$584,36,0)</f>
        <v>0</v>
      </c>
    </row>
    <row r="356" spans="1:47" ht="105" hidden="1" customHeight="1">
      <c r="B356" s="152"/>
      <c r="C356" s="152"/>
      <c r="D356" s="153" t="s">
        <v>1575</v>
      </c>
      <c r="E356">
        <f t="shared" si="30"/>
        <v>270</v>
      </c>
      <c r="F356" s="353">
        <v>10</v>
      </c>
      <c r="G356" s="156">
        <v>10</v>
      </c>
      <c r="H356" s="354">
        <v>2200700</v>
      </c>
      <c r="I356" s="158">
        <v>1</v>
      </c>
      <c r="J356" s="354" t="s">
        <v>1576</v>
      </c>
      <c r="K356" s="171" t="s">
        <v>286</v>
      </c>
      <c r="L356" s="171" t="s">
        <v>1182</v>
      </c>
      <c r="M356" s="158" t="s">
        <v>1263</v>
      </c>
      <c r="N356" s="160" t="s">
        <v>266</v>
      </c>
      <c r="O356" s="161" t="s">
        <v>139</v>
      </c>
      <c r="P356" s="337" t="s">
        <v>163</v>
      </c>
      <c r="Q356" s="355">
        <v>10</v>
      </c>
      <c r="R356" s="356" t="s">
        <v>1577</v>
      </c>
      <c r="S356" s="286" t="s">
        <v>125</v>
      </c>
      <c r="T356" s="339">
        <v>40367</v>
      </c>
      <c r="U356" s="166" t="s">
        <v>303</v>
      </c>
      <c r="V356" s="167" t="s">
        <v>304</v>
      </c>
      <c r="W356" s="163" t="s">
        <v>1572</v>
      </c>
      <c r="X356" s="357">
        <v>1853775</v>
      </c>
      <c r="Y356" s="357">
        <v>1853775</v>
      </c>
      <c r="Z356" s="358">
        <f t="shared" si="32"/>
        <v>1</v>
      </c>
      <c r="AA356" s="342"/>
      <c r="AB356" s="360"/>
      <c r="AC356" s="354">
        <v>1</v>
      </c>
      <c r="AD356" s="170" t="s">
        <v>271</v>
      </c>
      <c r="AE356" s="171"/>
      <c r="AF356" s="158"/>
      <c r="AG356" s="152" t="s">
        <v>131</v>
      </c>
      <c r="AH356" s="361" t="s">
        <v>171</v>
      </c>
      <c r="AI356" s="154"/>
      <c r="AJ356" s="152"/>
      <c r="AK356" s="152" t="s">
        <v>1578</v>
      </c>
      <c r="AL356" s="233" t="str">
        <f>VLOOKUP(AK356,'[3]17見直し計画'!$A$50:$AJ$584,6,0)</f>
        <v>新日鉄ソリューションズ株式会社</v>
      </c>
      <c r="AM356" s="174" t="str">
        <f>VLOOKUP(AK356,'[3]17見直し計画'!$A$50:$AJ$584,8,0)</f>
        <v>「会計手続システム機能拡張作業」業務委嘱</v>
      </c>
      <c r="AN356" s="225">
        <f>VLOOKUP(AK356,'[3]17見直し計画'!$A$50:$AJ$584,10,0)</f>
        <v>38741</v>
      </c>
      <c r="AO356" s="175">
        <f>VLOOKUP(AK356,'[3]17見直し計画'!$A$50:$AJ$584,11,0)</f>
        <v>5197500</v>
      </c>
      <c r="AP356" s="174" t="str">
        <f>VLOOKUP(AK356,'[3]17見直し計画'!$A$50:$AJ$584,12,0)</f>
        <v>現在稼働中のシステムの改修を同システムの開発業者である契約相手先に委託するものであり、業務効率・費用面から考えて他に競争を許さない（会計法第２９条の３第４項）。</v>
      </c>
      <c r="AQ356" s="174" t="str">
        <f>VLOOKUP(AK356,'[3]17見直し計画'!$A$50:$AJ$584,13,0)</f>
        <v>見直しの余地があるもの</v>
      </c>
      <c r="AR356" s="174" t="str">
        <f>VLOOKUP(AK356,'[3]17見直し計画'!$A$50:$AJ$584,14,0)</f>
        <v>18年度において当該事務・事業の委託を行う予定のないもの</v>
      </c>
      <c r="AS356" s="174"/>
      <c r="AT356" s="174">
        <f>VLOOKUP(AK356,'[3]17見直し計画'!$A$50:$AJ$584,35,0)</f>
        <v>0</v>
      </c>
      <c r="AU356" s="174">
        <f>VLOOKUP(AK356,'[3]17見直し計画'!$A$50:$AJ$584,36,0)</f>
        <v>0</v>
      </c>
    </row>
    <row r="357" spans="1:47" ht="105" hidden="1" customHeight="1">
      <c r="B357" s="182"/>
      <c r="C357" s="182"/>
      <c r="D357" s="223" t="s">
        <v>421</v>
      </c>
      <c r="E357">
        <f t="shared" si="30"/>
        <v>271</v>
      </c>
      <c r="F357" s="362">
        <v>11</v>
      </c>
      <c r="G357" s="186">
        <v>11</v>
      </c>
      <c r="H357" s="363">
        <v>2200701</v>
      </c>
      <c r="I357" s="188">
        <v>1</v>
      </c>
      <c r="J357" s="363" t="s">
        <v>1579</v>
      </c>
      <c r="K357" s="201" t="s">
        <v>1112</v>
      </c>
      <c r="L357" s="201" t="s">
        <v>1190</v>
      </c>
      <c r="M357" s="188" t="s">
        <v>1223</v>
      </c>
      <c r="N357" s="190" t="s">
        <v>277</v>
      </c>
      <c r="O357" s="191" t="s">
        <v>121</v>
      </c>
      <c r="P357" s="328" t="s">
        <v>231</v>
      </c>
      <c r="Q357" s="364">
        <v>11</v>
      </c>
      <c r="R357" s="365" t="s">
        <v>1580</v>
      </c>
      <c r="S357" s="273" t="s">
        <v>125</v>
      </c>
      <c r="T357" s="330">
        <v>40368</v>
      </c>
      <c r="U357" s="196" t="s">
        <v>1581</v>
      </c>
      <c r="V357" s="197" t="s">
        <v>1582</v>
      </c>
      <c r="W357" s="193" t="s">
        <v>282</v>
      </c>
      <c r="X357" s="366">
        <v>2815000</v>
      </c>
      <c r="Y357" s="366">
        <v>2803000</v>
      </c>
      <c r="Z357" s="367">
        <f t="shared" si="32"/>
        <v>0.995</v>
      </c>
      <c r="AA357" s="333">
        <v>2</v>
      </c>
      <c r="AB357" s="368"/>
      <c r="AC357" s="363">
        <v>2</v>
      </c>
      <c r="AD357" s="200" t="s">
        <v>1249</v>
      </c>
      <c r="AE357" s="201"/>
      <c r="AF357" s="188"/>
      <c r="AG357" s="182" t="s">
        <v>131</v>
      </c>
      <c r="AH357" s="369" t="s">
        <v>428</v>
      </c>
      <c r="AI357" s="184"/>
      <c r="AJ357" s="182"/>
      <c r="AK357" s="182" t="s">
        <v>147</v>
      </c>
      <c r="AL357" s="231" t="str">
        <f>VLOOKUP(AK357,'[3]17見直し計画'!$A$50:$AJ$584,6,0)</f>
        <v>　見直し計画策定以降の新規案件</v>
      </c>
      <c r="AM357" s="204">
        <f>VLOOKUP(AK357,'[3]17見直し計画'!$A$50:$AJ$584,8,0)</f>
        <v>0</v>
      </c>
      <c r="AN357" s="224"/>
      <c r="AO357" s="205">
        <f>VLOOKUP(AK357,'[3]17見直し計画'!$A$50:$AJ$584,11,0)</f>
        <v>0</v>
      </c>
      <c r="AP357" s="204">
        <f>VLOOKUP(AK357,'[3]17見直し計画'!$A$50:$AJ$584,12,0)</f>
        <v>0</v>
      </c>
      <c r="AQ357" s="204">
        <f>VLOOKUP(AK357,'[3]17見直し計画'!$A$50:$AJ$584,13,0)</f>
        <v>0</v>
      </c>
      <c r="AR357" s="204">
        <f>VLOOKUP(AK357,'[3]17見直し計画'!$A$50:$AJ$584,14,0)</f>
        <v>0</v>
      </c>
      <c r="AS357" s="204"/>
      <c r="AT357" s="204">
        <f>VLOOKUP(AK357,'[3]17見直し計画'!$A$50:$AJ$584,35,0)</f>
        <v>0</v>
      </c>
      <c r="AU357" s="204">
        <f>VLOOKUP(AK357,'[3]17見直し計画'!$A$50:$AJ$584,36,0)</f>
        <v>0</v>
      </c>
    </row>
    <row r="358" spans="1:47" ht="105" hidden="1" customHeight="1">
      <c r="B358" s="182"/>
      <c r="C358" s="182"/>
      <c r="D358" s="223" t="s">
        <v>421</v>
      </c>
      <c r="E358">
        <f t="shared" si="30"/>
        <v>272</v>
      </c>
      <c r="F358" s="362">
        <v>12</v>
      </c>
      <c r="G358" s="186">
        <v>12</v>
      </c>
      <c r="H358" s="363">
        <v>2200718</v>
      </c>
      <c r="I358" s="188">
        <v>1</v>
      </c>
      <c r="J358" s="363" t="s">
        <v>1583</v>
      </c>
      <c r="K358" s="201" t="s">
        <v>119</v>
      </c>
      <c r="L358" s="201" t="s">
        <v>1163</v>
      </c>
      <c r="M358" s="188" t="s">
        <v>1164</v>
      </c>
      <c r="N358" s="190" t="s">
        <v>230</v>
      </c>
      <c r="O358" s="191" t="s">
        <v>139</v>
      </c>
      <c r="P358" s="328" t="s">
        <v>231</v>
      </c>
      <c r="Q358" s="364">
        <v>12</v>
      </c>
      <c r="R358" s="365" t="s">
        <v>1584</v>
      </c>
      <c r="S358" s="273" t="s">
        <v>125</v>
      </c>
      <c r="T358" s="330">
        <v>40371</v>
      </c>
      <c r="U358" s="196" t="s">
        <v>1585</v>
      </c>
      <c r="V358" s="197" t="s">
        <v>1586</v>
      </c>
      <c r="W358" s="193" t="s">
        <v>282</v>
      </c>
      <c r="X358" s="366">
        <v>3183000</v>
      </c>
      <c r="Y358" s="366">
        <v>3175200</v>
      </c>
      <c r="Z358" s="367">
        <f t="shared" si="32"/>
        <v>0.997</v>
      </c>
      <c r="AA358" s="333"/>
      <c r="AB358" s="368"/>
      <c r="AC358" s="363">
        <v>1</v>
      </c>
      <c r="AD358" s="200" t="s">
        <v>631</v>
      </c>
      <c r="AE358" s="201"/>
      <c r="AF358" s="188"/>
      <c r="AG358" s="182" t="s">
        <v>131</v>
      </c>
      <c r="AH358" s="369" t="s">
        <v>171</v>
      </c>
      <c r="AI358" s="184"/>
      <c r="AJ358" s="182"/>
      <c r="AK358" s="182" t="s">
        <v>147</v>
      </c>
      <c r="AL358" s="231" t="str">
        <f>VLOOKUP(AK358,'[3]17見直し計画'!$A$50:$AJ$584,6,0)</f>
        <v>　見直し計画策定以降の新規案件</v>
      </c>
      <c r="AM358" s="204">
        <f>VLOOKUP(AK358,'[3]17見直し計画'!$A$50:$AJ$584,8,0)</f>
        <v>0</v>
      </c>
      <c r="AN358" s="224"/>
      <c r="AO358" s="205">
        <f>VLOOKUP(AK358,'[3]17見直し計画'!$A$50:$AJ$584,11,0)</f>
        <v>0</v>
      </c>
      <c r="AP358" s="204">
        <f>VLOOKUP(AK358,'[3]17見直し計画'!$A$50:$AJ$584,12,0)</f>
        <v>0</v>
      </c>
      <c r="AQ358" s="204">
        <f>VLOOKUP(AK358,'[3]17見直し計画'!$A$50:$AJ$584,13,0)</f>
        <v>0</v>
      </c>
      <c r="AR358" s="204">
        <f>VLOOKUP(AK358,'[3]17見直し計画'!$A$50:$AJ$584,14,0)</f>
        <v>0</v>
      </c>
      <c r="AS358" s="204"/>
      <c r="AT358" s="204">
        <f>VLOOKUP(AK358,'[3]17見直し計画'!$A$50:$AJ$584,35,0)</f>
        <v>0</v>
      </c>
      <c r="AU358" s="204">
        <f>VLOOKUP(AK358,'[3]17見直し計画'!$A$50:$AJ$584,36,0)</f>
        <v>0</v>
      </c>
    </row>
    <row r="359" spans="1:47" ht="105" hidden="1" customHeight="1">
      <c r="B359" s="182"/>
      <c r="C359" s="182"/>
      <c r="D359" s="223" t="s">
        <v>421</v>
      </c>
      <c r="E359">
        <f t="shared" si="30"/>
        <v>273</v>
      </c>
      <c r="F359" s="362">
        <v>13</v>
      </c>
      <c r="G359" s="186">
        <v>13</v>
      </c>
      <c r="H359" s="363">
        <v>2200557</v>
      </c>
      <c r="I359" s="188"/>
      <c r="J359" s="363" t="s">
        <v>1587</v>
      </c>
      <c r="K359" s="201" t="s">
        <v>1397</v>
      </c>
      <c r="L359" s="201" t="s">
        <v>1190</v>
      </c>
      <c r="M359" s="188" t="s">
        <v>1381</v>
      </c>
      <c r="N359" s="190" t="s">
        <v>230</v>
      </c>
      <c r="O359" s="191" t="s">
        <v>139</v>
      </c>
      <c r="P359" s="328" t="s">
        <v>231</v>
      </c>
      <c r="Q359" s="364">
        <v>13</v>
      </c>
      <c r="R359" s="365" t="s">
        <v>1588</v>
      </c>
      <c r="S359" s="273" t="s">
        <v>125</v>
      </c>
      <c r="T359" s="330">
        <v>40374</v>
      </c>
      <c r="U359" s="196" t="s">
        <v>1589</v>
      </c>
      <c r="V359" s="197" t="s">
        <v>1590</v>
      </c>
      <c r="W359" s="193" t="s">
        <v>282</v>
      </c>
      <c r="X359" s="366">
        <v>5104000</v>
      </c>
      <c r="Y359" s="366">
        <v>5103000</v>
      </c>
      <c r="Z359" s="367">
        <f t="shared" si="32"/>
        <v>0.999</v>
      </c>
      <c r="AA359" s="333"/>
      <c r="AB359" s="368"/>
      <c r="AC359" s="363">
        <v>2</v>
      </c>
      <c r="AD359" s="200" t="s">
        <v>427</v>
      </c>
      <c r="AE359" s="201"/>
      <c r="AF359" s="188"/>
      <c r="AG359" s="182" t="s">
        <v>131</v>
      </c>
      <c r="AH359" s="369" t="s">
        <v>428</v>
      </c>
      <c r="AI359" s="184"/>
      <c r="AJ359" s="182"/>
      <c r="AK359" s="182" t="s">
        <v>147</v>
      </c>
      <c r="AL359" s="231" t="str">
        <f>VLOOKUP(AK359,'[3]17見直し計画'!$A$50:$AJ$584,6,0)</f>
        <v>　見直し計画策定以降の新規案件</v>
      </c>
      <c r="AM359" s="204">
        <f>VLOOKUP(AK359,'[3]17見直し計画'!$A$50:$AJ$584,8,0)</f>
        <v>0</v>
      </c>
      <c r="AN359" s="224"/>
      <c r="AO359" s="205">
        <f>VLOOKUP(AK359,'[3]17見直し計画'!$A$50:$AJ$584,11,0)</f>
        <v>0</v>
      </c>
      <c r="AP359" s="204">
        <f>VLOOKUP(AK359,'[3]17見直し計画'!$A$50:$AJ$584,12,0)</f>
        <v>0</v>
      </c>
      <c r="AQ359" s="204">
        <f>VLOOKUP(AK359,'[3]17見直し計画'!$A$50:$AJ$584,13,0)</f>
        <v>0</v>
      </c>
      <c r="AR359" s="204">
        <f>VLOOKUP(AK359,'[3]17見直し計画'!$A$50:$AJ$584,14,0)</f>
        <v>0</v>
      </c>
      <c r="AS359" s="204"/>
      <c r="AT359" s="204">
        <f>VLOOKUP(AK359,'[3]17見直し計画'!$A$50:$AJ$584,35,0)</f>
        <v>0</v>
      </c>
      <c r="AU359" s="204">
        <f>VLOOKUP(AK359,'[3]17見直し計画'!$A$50:$AJ$584,36,0)</f>
        <v>0</v>
      </c>
    </row>
    <row r="360" spans="1:47" ht="105" customHeight="1">
      <c r="B360" s="126" t="s">
        <v>1495</v>
      </c>
      <c r="C360" s="143" t="s">
        <v>550</v>
      </c>
      <c r="D360" s="143" t="s">
        <v>351</v>
      </c>
      <c r="E360">
        <f t="shared" si="30"/>
        <v>274</v>
      </c>
      <c r="F360" s="349">
        <v>14</v>
      </c>
      <c r="G360" s="123">
        <v>14</v>
      </c>
      <c r="H360" s="245">
        <v>2200730</v>
      </c>
      <c r="I360" s="238"/>
      <c r="J360" s="245" t="s">
        <v>1591</v>
      </c>
      <c r="K360" s="239" t="s">
        <v>1592</v>
      </c>
      <c r="L360" s="239" t="s">
        <v>1190</v>
      </c>
      <c r="M360" s="238" t="s">
        <v>1381</v>
      </c>
      <c r="N360" s="127" t="s">
        <v>138</v>
      </c>
      <c r="O360" s="128" t="s">
        <v>139</v>
      </c>
      <c r="P360" s="321" t="s">
        <v>122</v>
      </c>
      <c r="Q360" s="382">
        <v>14</v>
      </c>
      <c r="R360" s="351" t="s">
        <v>1593</v>
      </c>
      <c r="S360" s="263" t="s">
        <v>125</v>
      </c>
      <c r="T360" s="323">
        <v>40374</v>
      </c>
      <c r="U360" s="133" t="s">
        <v>1585</v>
      </c>
      <c r="V360" s="134" t="s">
        <v>1586</v>
      </c>
      <c r="W360" s="130" t="s">
        <v>1594</v>
      </c>
      <c r="X360" s="352">
        <v>2014740</v>
      </c>
      <c r="Y360" s="352">
        <v>1598740</v>
      </c>
      <c r="Z360" s="383">
        <f t="shared" si="32"/>
        <v>0.79300000000000004</v>
      </c>
      <c r="AA360" s="250"/>
      <c r="AB360" s="244"/>
      <c r="AC360" s="245" t="s">
        <v>129</v>
      </c>
      <c r="AD360" s="137" t="s">
        <v>146</v>
      </c>
      <c r="AE360" s="138"/>
      <c r="AF360" s="125"/>
      <c r="AG360" s="120" t="s">
        <v>131</v>
      </c>
      <c r="AH360" s="381" t="s">
        <v>132</v>
      </c>
      <c r="AJ360" s="120"/>
      <c r="AK360" s="120" t="s">
        <v>147</v>
      </c>
      <c r="AL360" s="232" t="str">
        <f>VLOOKUP(AK360,'[3]17見直し計画'!$A$50:$AJ$584,6,0)</f>
        <v>　見直し計画策定以降の新規案件</v>
      </c>
      <c r="AM360" s="140">
        <f>VLOOKUP(AK360,'[3]17見直し計画'!$A$50:$AJ$584,8,0)</f>
        <v>0</v>
      </c>
      <c r="AN360" s="180"/>
      <c r="AO360" s="141">
        <f>VLOOKUP(AK360,'[3]17見直し計画'!$A$50:$AJ$584,11,0)</f>
        <v>0</v>
      </c>
      <c r="AP360" s="140">
        <f>VLOOKUP(AK360,'[3]17見直し計画'!$A$50:$AJ$584,12,0)</f>
        <v>0</v>
      </c>
      <c r="AQ360" s="140">
        <f>VLOOKUP(AK360,'[3]17見直し計画'!$A$50:$AJ$584,13,0)</f>
        <v>0</v>
      </c>
      <c r="AR360" s="140">
        <f>VLOOKUP(AK360,'[3]17見直し計画'!$A$50:$AJ$584,14,0)</f>
        <v>0</v>
      </c>
      <c r="AS360" s="140"/>
      <c r="AT360" s="140">
        <f>VLOOKUP(AK360,'[3]17見直し計画'!$A$50:$AJ$584,35,0)</f>
        <v>0</v>
      </c>
      <c r="AU360" s="140">
        <f>VLOOKUP(AK360,'[3]17見直し計画'!$A$50:$AJ$584,36,0)</f>
        <v>0</v>
      </c>
    </row>
    <row r="361" spans="1:47" ht="105" hidden="1" customHeight="1">
      <c r="B361" s="182"/>
      <c r="C361" s="182"/>
      <c r="D361" s="223" t="s">
        <v>421</v>
      </c>
      <c r="E361">
        <f>SUM(E360+1)</f>
        <v>275</v>
      </c>
      <c r="F361" s="362">
        <v>16</v>
      </c>
      <c r="G361" s="186">
        <v>16</v>
      </c>
      <c r="H361" s="363">
        <v>2200617</v>
      </c>
      <c r="I361" s="188"/>
      <c r="J361" s="363" t="s">
        <v>1595</v>
      </c>
      <c r="K361" s="201" t="s">
        <v>445</v>
      </c>
      <c r="L361" s="201" t="s">
        <v>1182</v>
      </c>
      <c r="M361" s="188" t="s">
        <v>1596</v>
      </c>
      <c r="N361" s="190" t="s">
        <v>230</v>
      </c>
      <c r="O361" s="191" t="s">
        <v>139</v>
      </c>
      <c r="P361" s="328" t="s">
        <v>231</v>
      </c>
      <c r="Q361" s="364">
        <v>16</v>
      </c>
      <c r="R361" s="365" t="s">
        <v>1597</v>
      </c>
      <c r="S361" s="273" t="s">
        <v>125</v>
      </c>
      <c r="T361" s="330">
        <v>40379</v>
      </c>
      <c r="U361" s="196" t="s">
        <v>1598</v>
      </c>
      <c r="V361" s="197" t="s">
        <v>426</v>
      </c>
      <c r="W361" s="193" t="s">
        <v>282</v>
      </c>
      <c r="X361" s="366">
        <v>19016000</v>
      </c>
      <c r="Y361" s="366">
        <v>17621100</v>
      </c>
      <c r="Z361" s="367">
        <f t="shared" si="32"/>
        <v>0.92600000000000005</v>
      </c>
      <c r="AA361" s="333"/>
      <c r="AB361" s="368"/>
      <c r="AC361" s="363">
        <v>3</v>
      </c>
      <c r="AD361" s="200" t="s">
        <v>237</v>
      </c>
      <c r="AE361" s="201"/>
      <c r="AF361" s="188"/>
      <c r="AG361" s="182" t="s">
        <v>131</v>
      </c>
      <c r="AH361" s="369" t="s">
        <v>238</v>
      </c>
      <c r="AI361" s="184"/>
      <c r="AJ361" s="182"/>
      <c r="AK361" s="182" t="s">
        <v>147</v>
      </c>
      <c r="AL361" s="231" t="str">
        <f>VLOOKUP(AK361,'[3]17見直し計画'!$A$50:$AJ$584,6,0)</f>
        <v>　見直し計画策定以降の新規案件</v>
      </c>
      <c r="AM361" s="204">
        <f>VLOOKUP(AK361,'[3]17見直し計画'!$A$50:$AJ$584,8,0)</f>
        <v>0</v>
      </c>
      <c r="AN361" s="224"/>
      <c r="AO361" s="205">
        <f>VLOOKUP(AK361,'[3]17見直し計画'!$A$50:$AJ$584,11,0)</f>
        <v>0</v>
      </c>
      <c r="AP361" s="204">
        <f>VLOOKUP(AK361,'[3]17見直し計画'!$A$50:$AJ$584,12,0)</f>
        <v>0</v>
      </c>
      <c r="AQ361" s="204">
        <f>VLOOKUP(AK361,'[3]17見直し計画'!$A$50:$AJ$584,13,0)</f>
        <v>0</v>
      </c>
      <c r="AR361" s="204">
        <f>VLOOKUP(AK361,'[3]17見直し計画'!$A$50:$AJ$584,14,0)</f>
        <v>0</v>
      </c>
      <c r="AS361" s="204"/>
      <c r="AT361" s="204">
        <f>VLOOKUP(AK361,'[3]17見直し計画'!$A$50:$AJ$584,35,0)</f>
        <v>0</v>
      </c>
      <c r="AU361" s="204">
        <f>VLOOKUP(AK361,'[3]17見直し計画'!$A$50:$AJ$584,36,0)</f>
        <v>0</v>
      </c>
    </row>
    <row r="362" spans="1:47" ht="105" customHeight="1">
      <c r="B362" s="143" t="s">
        <v>476</v>
      </c>
      <c r="C362" s="143" t="s">
        <v>550</v>
      </c>
      <c r="D362" s="143" t="s">
        <v>351</v>
      </c>
      <c r="E362">
        <f t="shared" ref="E362:E424" si="33">SUM(E361+1)</f>
        <v>276</v>
      </c>
      <c r="F362" s="349">
        <v>17</v>
      </c>
      <c r="G362" s="123">
        <v>17</v>
      </c>
      <c r="H362" s="245">
        <v>2200760</v>
      </c>
      <c r="I362" s="238"/>
      <c r="J362" s="245" t="s">
        <v>1599</v>
      </c>
      <c r="K362" s="239" t="s">
        <v>1162</v>
      </c>
      <c r="L362" s="239" t="s">
        <v>1163</v>
      </c>
      <c r="M362" s="238" t="s">
        <v>1164</v>
      </c>
      <c r="N362" s="127" t="s">
        <v>138</v>
      </c>
      <c r="O362" s="128" t="s">
        <v>139</v>
      </c>
      <c r="P362" s="321" t="s">
        <v>122</v>
      </c>
      <c r="Q362" s="382">
        <v>17</v>
      </c>
      <c r="R362" s="351" t="s">
        <v>1538</v>
      </c>
      <c r="S362" s="263" t="s">
        <v>125</v>
      </c>
      <c r="T362" s="323">
        <v>40382</v>
      </c>
      <c r="U362" s="133" t="s">
        <v>1600</v>
      </c>
      <c r="V362" s="134" t="s">
        <v>1422</v>
      </c>
      <c r="W362" s="130" t="s">
        <v>1423</v>
      </c>
      <c r="X362" s="352">
        <v>5582816</v>
      </c>
      <c r="Y362" s="352">
        <v>5582816</v>
      </c>
      <c r="Z362" s="383">
        <f t="shared" si="32"/>
        <v>1</v>
      </c>
      <c r="AA362" s="250"/>
      <c r="AB362" s="244"/>
      <c r="AC362" s="245" t="s">
        <v>129</v>
      </c>
      <c r="AD362" s="137" t="s">
        <v>146</v>
      </c>
      <c r="AE362" s="138"/>
      <c r="AF362" s="125"/>
      <c r="AG362" s="120" t="s">
        <v>131</v>
      </c>
      <c r="AH362" s="381" t="s">
        <v>132</v>
      </c>
      <c r="AJ362" s="120"/>
      <c r="AK362" s="120" t="s">
        <v>1174</v>
      </c>
      <c r="AL362" s="232" t="str">
        <f>VLOOKUP(AK362,'[3]17見直し計画'!$A$50:$AJ$584,6,0)</f>
        <v>根室市役所（根室市長　藤原　弘）</v>
      </c>
      <c r="AM362" s="140" t="str">
        <f>VLOOKUP(AK362,'[3]17見直し計画'!$A$50:$AJ$584,8,0)</f>
        <v>北方四島住民支援（平成１７年度患者受入事業：第１回目）について</v>
      </c>
      <c r="AN362" s="180">
        <f>VLOOKUP(AK362,'[3]17見直し計画'!$A$50:$AJ$584,10,0)</f>
        <v>38520</v>
      </c>
      <c r="AO362" s="141">
        <f>VLOOKUP(AK362,'[3]17見直し計画'!$A$50:$AJ$584,11,0)</f>
        <v>3098667</v>
      </c>
      <c r="AP362" s="140" t="str">
        <f>VLOOKUP(AK362,'[3]17見直し計画'!$A$50:$AJ$584,12,0)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62" s="140" t="str">
        <f>VLOOKUP(AK362,'[3]17見直し計画'!$A$50:$AJ$584,13,0)</f>
        <v>その他のもの</v>
      </c>
      <c r="AR362" s="140" t="str">
        <f>VLOOKUP(AK362,'[3]17見直し計画'!$A$50:$AJ$584,14,0)</f>
        <v>随意契約によらざるを得ないもの</v>
      </c>
      <c r="AS362" s="140"/>
      <c r="AT362" s="140" t="str">
        <f>VLOOKUP(AK362,'[3]17見直し計画'!$A$50:$AJ$584,35,0)</f>
        <v>場所が限定される賃貸借その他業務</v>
      </c>
      <c r="AU362" s="140" t="str">
        <f>VLOOKUP(AK362,'[3]17見直し計画'!$A$50:$AJ$584,36,0)</f>
        <v>ロ</v>
      </c>
    </row>
    <row r="363" spans="1:47" ht="105" customHeight="1">
      <c r="B363" s="207" t="s">
        <v>1601</v>
      </c>
      <c r="C363" s="207" t="s">
        <v>550</v>
      </c>
      <c r="D363" s="207" t="s">
        <v>351</v>
      </c>
      <c r="E363">
        <f t="shared" si="33"/>
        <v>277</v>
      </c>
      <c r="F363" s="349">
        <v>18</v>
      </c>
      <c r="G363" s="123">
        <v>18</v>
      </c>
      <c r="H363" s="245">
        <v>2200758</v>
      </c>
      <c r="I363" s="238"/>
      <c r="J363" s="245" t="s">
        <v>1602</v>
      </c>
      <c r="K363" s="239" t="s">
        <v>1162</v>
      </c>
      <c r="L363" s="239" t="s">
        <v>1163</v>
      </c>
      <c r="M363" s="238" t="s">
        <v>1164</v>
      </c>
      <c r="N363" s="127" t="s">
        <v>1070</v>
      </c>
      <c r="O363" s="128" t="s">
        <v>139</v>
      </c>
      <c r="P363" s="321" t="s">
        <v>1071</v>
      </c>
      <c r="Q363" s="382">
        <v>18</v>
      </c>
      <c r="R363" s="351" t="s">
        <v>1603</v>
      </c>
      <c r="S363" s="263" t="s">
        <v>125</v>
      </c>
      <c r="T363" s="323">
        <v>40382</v>
      </c>
      <c r="U363" s="133" t="s">
        <v>1431</v>
      </c>
      <c r="V363" s="134" t="s">
        <v>1432</v>
      </c>
      <c r="W363" s="130" t="s">
        <v>1428</v>
      </c>
      <c r="X363" s="352">
        <v>3498232</v>
      </c>
      <c r="Y363" s="352">
        <v>3498232</v>
      </c>
      <c r="Z363" s="383">
        <f t="shared" si="32"/>
        <v>1</v>
      </c>
      <c r="AA363" s="250"/>
      <c r="AB363" s="244"/>
      <c r="AC363" s="245" t="s">
        <v>129</v>
      </c>
      <c r="AD363" s="137" t="s">
        <v>1077</v>
      </c>
      <c r="AE363" s="138"/>
      <c r="AF363" s="125"/>
      <c r="AG363" s="120" t="s">
        <v>131</v>
      </c>
      <c r="AH363" s="381" t="s">
        <v>132</v>
      </c>
      <c r="AJ363" s="120"/>
      <c r="AK363" s="120" t="s">
        <v>1429</v>
      </c>
      <c r="AL363" s="232" t="str">
        <f>VLOOKUP(AK363,'[3]17見直し計画'!$A$50:$AJ$584,6,0)</f>
        <v>市立根室病院（市立根室病院院長　羽根田　俊）</v>
      </c>
      <c r="AM363" s="140" t="str">
        <f>VLOOKUP(AK363,'[3]17見直し計画'!$A$50:$AJ$584,8,0)</f>
        <v>北方四島住民支援（平成１７年度患者受入事業：第１回目）について</v>
      </c>
      <c r="AN363" s="180">
        <f>VLOOKUP(AK363,'[3]17見直し計画'!$A$50:$AJ$584,10,0)</f>
        <v>38520</v>
      </c>
      <c r="AO363" s="141">
        <f>VLOOKUP(AK363,'[3]17見直し計画'!$A$50:$AJ$584,11,0)</f>
        <v>6763626</v>
      </c>
      <c r="AP363" s="140" t="str">
        <f>VLOOKUP(AK363,'[3]17見直し計画'!$A$50:$AJ$584,12,0)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63" s="140" t="str">
        <f>VLOOKUP(AK363,'[3]17見直し計画'!$A$50:$AJ$584,13,0)</f>
        <v>その他のもの</v>
      </c>
      <c r="AR363" s="140" t="str">
        <f>VLOOKUP(AK363,'[3]17見直し計画'!$A$50:$AJ$584,14,0)</f>
        <v>随意契約によらざるを得ないもの</v>
      </c>
      <c r="AS363" s="140"/>
      <c r="AT363" s="140" t="str">
        <f>VLOOKUP(AK363,'[3]17見直し計画'!$A$50:$AJ$584,35,0)</f>
        <v>場所が限定される賃貸借その他業務</v>
      </c>
      <c r="AU363" s="140" t="str">
        <f>VLOOKUP(AK363,'[3]17見直し計画'!$A$50:$AJ$584,36,0)</f>
        <v>ロ</v>
      </c>
    </row>
    <row r="364" spans="1:47" ht="105" customHeight="1">
      <c r="B364" s="207" t="s">
        <v>1601</v>
      </c>
      <c r="C364" s="207" t="s">
        <v>550</v>
      </c>
      <c r="D364" s="207" t="s">
        <v>351</v>
      </c>
      <c r="E364">
        <f t="shared" si="33"/>
        <v>278</v>
      </c>
      <c r="F364" s="349">
        <v>19</v>
      </c>
      <c r="G364" s="123">
        <v>19</v>
      </c>
      <c r="H364" s="245">
        <v>2200759</v>
      </c>
      <c r="I364" s="238"/>
      <c r="J364" s="245" t="s">
        <v>1602</v>
      </c>
      <c r="K364" s="239" t="s">
        <v>1162</v>
      </c>
      <c r="L364" s="239" t="s">
        <v>1163</v>
      </c>
      <c r="M364" s="238" t="s">
        <v>1164</v>
      </c>
      <c r="N364" s="127" t="s">
        <v>1070</v>
      </c>
      <c r="O364" s="128" t="s">
        <v>139</v>
      </c>
      <c r="P364" s="321" t="s">
        <v>1071</v>
      </c>
      <c r="Q364" s="382">
        <v>19</v>
      </c>
      <c r="R364" s="351" t="s">
        <v>1603</v>
      </c>
      <c r="S364" s="263" t="s">
        <v>125</v>
      </c>
      <c r="T364" s="323">
        <v>40382</v>
      </c>
      <c r="U364" s="133" t="s">
        <v>1426</v>
      </c>
      <c r="V364" s="134" t="s">
        <v>1604</v>
      </c>
      <c r="W364" s="130" t="s">
        <v>1605</v>
      </c>
      <c r="X364" s="352">
        <v>2577864</v>
      </c>
      <c r="Y364" s="352">
        <v>2577864</v>
      </c>
      <c r="Z364" s="383">
        <f t="shared" si="32"/>
        <v>1</v>
      </c>
      <c r="AA364" s="250"/>
      <c r="AB364" s="244"/>
      <c r="AC364" s="245" t="s">
        <v>129</v>
      </c>
      <c r="AD364" s="137" t="s">
        <v>1077</v>
      </c>
      <c r="AE364" s="138"/>
      <c r="AF364" s="125"/>
      <c r="AG364" s="120" t="s">
        <v>131</v>
      </c>
      <c r="AH364" s="381" t="s">
        <v>132</v>
      </c>
      <c r="AJ364" s="120"/>
      <c r="AK364" s="120" t="s">
        <v>1429</v>
      </c>
      <c r="AL364" s="232" t="str">
        <f>VLOOKUP(AK364,'[3]17見直し計画'!$A$50:$AJ$584,6,0)</f>
        <v>市立根室病院（市立根室病院院長　羽根田　俊）</v>
      </c>
      <c r="AM364" s="140" t="str">
        <f>VLOOKUP(AK364,'[3]17見直し計画'!$A$50:$AJ$584,8,0)</f>
        <v>北方四島住民支援（平成１７年度患者受入事業：第１回目）について</v>
      </c>
      <c r="AN364" s="180">
        <f>VLOOKUP(AK364,'[3]17見直し計画'!$A$50:$AJ$584,10,0)</f>
        <v>38520</v>
      </c>
      <c r="AO364" s="141">
        <f>VLOOKUP(AK364,'[3]17見直し計画'!$A$50:$AJ$584,11,0)</f>
        <v>6763626</v>
      </c>
      <c r="AP364" s="140" t="str">
        <f>VLOOKUP(AK364,'[3]17見直し計画'!$A$50:$AJ$584,12,0)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64" s="140" t="str">
        <f>VLOOKUP(AK364,'[3]17見直し計画'!$A$50:$AJ$584,13,0)</f>
        <v>その他のもの</v>
      </c>
      <c r="AR364" s="140" t="str">
        <f>VLOOKUP(AK364,'[3]17見直し計画'!$A$50:$AJ$584,14,0)</f>
        <v>随意契約によらざるを得ないもの</v>
      </c>
      <c r="AS364" s="140"/>
      <c r="AT364" s="140" t="str">
        <f>VLOOKUP(AK364,'[3]17見直し計画'!$A$50:$AJ$584,35,0)</f>
        <v>場所が限定される賃貸借その他業務</v>
      </c>
      <c r="AU364" s="140" t="str">
        <f>VLOOKUP(AK364,'[3]17見直し計画'!$A$50:$AJ$584,36,0)</f>
        <v>ロ</v>
      </c>
    </row>
    <row r="365" spans="1:47" ht="105" hidden="1" customHeight="1" thickBot="1">
      <c r="B365" s="386"/>
      <c r="C365" s="386"/>
      <c r="D365" s="223" t="s">
        <v>421</v>
      </c>
      <c r="E365" s="177">
        <f>SUM(E364+1)</f>
        <v>279</v>
      </c>
      <c r="F365" s="362"/>
      <c r="G365" s="186"/>
      <c r="H365" s="387">
        <v>2200918</v>
      </c>
      <c r="I365" s="388"/>
      <c r="J365" s="387" t="s">
        <v>1606</v>
      </c>
      <c r="K365" s="389" t="s">
        <v>1607</v>
      </c>
      <c r="L365" s="390" t="s">
        <v>1202</v>
      </c>
      <c r="M365" s="388" t="s">
        <v>1203</v>
      </c>
      <c r="N365" s="190" t="s">
        <v>1608</v>
      </c>
      <c r="O365" s="391" t="s">
        <v>139</v>
      </c>
      <c r="P365" s="328" t="s">
        <v>231</v>
      </c>
      <c r="Q365" s="364"/>
      <c r="R365" s="392" t="s">
        <v>1609</v>
      </c>
      <c r="S365" s="393" t="s">
        <v>125</v>
      </c>
      <c r="T365" s="330">
        <v>40382</v>
      </c>
      <c r="U365" s="394" t="s">
        <v>1610</v>
      </c>
      <c r="V365" s="395" t="s">
        <v>1611</v>
      </c>
      <c r="W365" s="396" t="s">
        <v>1612</v>
      </c>
      <c r="X365" s="397">
        <v>149750000</v>
      </c>
      <c r="Y365" s="398">
        <v>90575137</v>
      </c>
      <c r="Z365" s="399">
        <f t="shared" si="32"/>
        <v>0.60399999999999998</v>
      </c>
      <c r="AA365" s="400">
        <v>0</v>
      </c>
      <c r="AB365" s="401"/>
      <c r="AC365" s="402">
        <v>1</v>
      </c>
      <c r="AD365" s="190" t="s">
        <v>631</v>
      </c>
      <c r="AE365" s="201"/>
      <c r="AF365" s="188"/>
      <c r="AG365" s="182"/>
      <c r="AH365" s="369">
        <v>1</v>
      </c>
      <c r="AJ365" s="120"/>
      <c r="AK365" s="182" t="s">
        <v>147</v>
      </c>
      <c r="AL365" s="231" t="str">
        <f>VLOOKUP(AK365,'[3]17見直し計画'!$A$50:$AJ$584,6,0)</f>
        <v>　見直し計画策定以降の新規案件</v>
      </c>
      <c r="AM365" s="204">
        <f>VLOOKUP(AK365,'[3]17見直し計画'!$A$50:$AJ$584,8,0)</f>
        <v>0</v>
      </c>
      <c r="AN365" s="224"/>
      <c r="AO365" s="205">
        <f>VLOOKUP(AK365,'[3]17見直し計画'!$A$50:$AJ$584,11,0)</f>
        <v>0</v>
      </c>
      <c r="AP365" s="204">
        <f>VLOOKUP(AK365,'[3]17見直し計画'!$A$50:$AJ$584,12,0)</f>
        <v>0</v>
      </c>
      <c r="AQ365" s="204">
        <f>VLOOKUP(AK365,'[3]17見直し計画'!$A$50:$AJ$584,13,0)</f>
        <v>0</v>
      </c>
      <c r="AR365" s="204">
        <f>VLOOKUP(AK365,'[3]17見直し計画'!$A$50:$AJ$584,14,0)</f>
        <v>0</v>
      </c>
      <c r="AS365" s="204"/>
      <c r="AT365" s="204">
        <f>VLOOKUP(AK365,'[3]17見直し計画'!$A$50:$AJ$584,35,0)</f>
        <v>0</v>
      </c>
      <c r="AU365" s="204">
        <f>VLOOKUP(AK365,'[3]17見直し計画'!$A$50:$AJ$584,36,0)</f>
        <v>0</v>
      </c>
    </row>
    <row r="366" spans="1:47" ht="105" hidden="1" customHeight="1">
      <c r="B366" s="182"/>
      <c r="C366" s="182"/>
      <c r="D366" s="223" t="s">
        <v>752</v>
      </c>
      <c r="E366">
        <f t="shared" si="33"/>
        <v>280</v>
      </c>
      <c r="F366" s="362">
        <v>20</v>
      </c>
      <c r="G366" s="186">
        <v>20</v>
      </c>
      <c r="H366" s="363">
        <v>2200743</v>
      </c>
      <c r="I366" s="188"/>
      <c r="J366" s="363" t="s">
        <v>1613</v>
      </c>
      <c r="K366" s="201" t="s">
        <v>746</v>
      </c>
      <c r="L366" s="201" t="s">
        <v>1163</v>
      </c>
      <c r="M366" s="188" t="s">
        <v>1164</v>
      </c>
      <c r="N366" s="190" t="s">
        <v>911</v>
      </c>
      <c r="O366" s="191" t="s">
        <v>688</v>
      </c>
      <c r="P366" s="328" t="s">
        <v>231</v>
      </c>
      <c r="Q366" s="364">
        <v>20</v>
      </c>
      <c r="R366" s="365" t="s">
        <v>1614</v>
      </c>
      <c r="S366" s="273" t="s">
        <v>125</v>
      </c>
      <c r="T366" s="330">
        <v>40385</v>
      </c>
      <c r="U366" s="196" t="s">
        <v>1615</v>
      </c>
      <c r="V366" s="197" t="s">
        <v>1616</v>
      </c>
      <c r="W366" s="193" t="s">
        <v>282</v>
      </c>
      <c r="X366" s="366">
        <v>10703000</v>
      </c>
      <c r="Y366" s="366">
        <v>10687162</v>
      </c>
      <c r="Z366" s="367">
        <f t="shared" si="32"/>
        <v>0.998</v>
      </c>
      <c r="AA366" s="333"/>
      <c r="AB366" s="368"/>
      <c r="AC366" s="363">
        <v>2</v>
      </c>
      <c r="AD366" s="200" t="s">
        <v>1217</v>
      </c>
      <c r="AE366" s="201"/>
      <c r="AF366" s="188"/>
      <c r="AG366" s="182" t="s">
        <v>131</v>
      </c>
      <c r="AH366" s="369" t="s">
        <v>428</v>
      </c>
      <c r="AI366" s="184"/>
      <c r="AJ366" s="182"/>
      <c r="AK366" s="182" t="s">
        <v>1617</v>
      </c>
      <c r="AL366" s="231" t="str">
        <f>VLOOKUP(AK366,'[3]17見直し計画'!$A$50:$AJ$584,6,0)</f>
        <v>学校法人佐野学園</v>
      </c>
      <c r="AM366" s="204" t="str">
        <f>VLOOKUP(AK366,'[3]17見直し計画'!$A$50:$AJ$584,8,0)</f>
        <v>早朝語学研修実施契約</v>
      </c>
      <c r="AN366" s="224">
        <f>VLOOKUP(AK366,'[3]17見直し計画'!$A$50:$AJ$584,10,0)</f>
        <v>38574</v>
      </c>
      <c r="AO366" s="205">
        <f>VLOOKUP(AK366,'[3]17見直し計画'!$A$50:$AJ$584,11,0)</f>
        <v>11100000</v>
      </c>
      <c r="AP366" s="204" t="str">
        <f>VLOOKUP(AK366,'[3]17見直し計画'!$A$50:$AJ$584,12,0)</f>
        <v>平成１５年度まで一般競争入札を実施していたが、経済性が優先されたため研修の質が低下し、研修効果が損なわれる結果となったことに鑑み、１６年度においては企画招請を行い、契約相手先に委嘱したもの。研修は２年連続して受講する事になっているため、研修の継続性を確保するため１７年度においても同社に委嘱した（会計法第２９条の３第４項）。</v>
      </c>
      <c r="AQ366" s="204" t="str">
        <f>VLOOKUP(AK366,'[3]17見直し計画'!$A$50:$AJ$584,13,0)</f>
        <v>見直しの余地があるもの</v>
      </c>
      <c r="AR366" s="204" t="str">
        <f>VLOOKUP(AK366,'[3]17見直し計画'!$A$50:$AJ$584,14,0)</f>
        <v>企画招請を実施（１８年度以降も引き続き実施）</v>
      </c>
      <c r="AS366" s="204"/>
      <c r="AT366" s="204">
        <f>VLOOKUP(AK366,'[3]17見直し計画'!$A$50:$AJ$584,35,0)</f>
        <v>0</v>
      </c>
      <c r="AU366" s="204">
        <f>VLOOKUP(AK366,'[3]17見直し計画'!$A$50:$AJ$584,36,0)</f>
        <v>0</v>
      </c>
    </row>
    <row r="367" spans="1:47" ht="105" hidden="1" customHeight="1">
      <c r="B367" s="182"/>
      <c r="C367" s="182"/>
      <c r="D367" s="223" t="s">
        <v>421</v>
      </c>
      <c r="E367">
        <f t="shared" si="33"/>
        <v>281</v>
      </c>
      <c r="F367" s="362">
        <v>21</v>
      </c>
      <c r="G367" s="186">
        <v>21</v>
      </c>
      <c r="H367" s="363">
        <v>2200769</v>
      </c>
      <c r="I367" s="188"/>
      <c r="J367" s="363" t="s">
        <v>1618</v>
      </c>
      <c r="K367" s="201" t="s">
        <v>433</v>
      </c>
      <c r="L367" s="201" t="s">
        <v>1163</v>
      </c>
      <c r="M367" s="188" t="s">
        <v>1164</v>
      </c>
      <c r="N367" s="190" t="s">
        <v>277</v>
      </c>
      <c r="O367" s="191" t="s">
        <v>121</v>
      </c>
      <c r="P367" s="328" t="s">
        <v>231</v>
      </c>
      <c r="Q367" s="364">
        <v>21</v>
      </c>
      <c r="R367" s="365" t="s">
        <v>1619</v>
      </c>
      <c r="S367" s="273" t="s">
        <v>125</v>
      </c>
      <c r="T367" s="330">
        <v>40387</v>
      </c>
      <c r="U367" s="196" t="s">
        <v>1620</v>
      </c>
      <c r="V367" s="197" t="s">
        <v>1621</v>
      </c>
      <c r="W367" s="193" t="s">
        <v>282</v>
      </c>
      <c r="X367" s="366">
        <v>12397000</v>
      </c>
      <c r="Y367" s="366">
        <v>11534505</v>
      </c>
      <c r="Z367" s="367">
        <f t="shared" si="32"/>
        <v>0.93</v>
      </c>
      <c r="AA367" s="333">
        <v>1</v>
      </c>
      <c r="AB367" s="368"/>
      <c r="AC367" s="363">
        <v>2</v>
      </c>
      <c r="AD367" s="200" t="s">
        <v>1249</v>
      </c>
      <c r="AE367" s="201"/>
      <c r="AF367" s="188"/>
      <c r="AG367" s="182" t="s">
        <v>131</v>
      </c>
      <c r="AH367" s="369" t="s">
        <v>428</v>
      </c>
      <c r="AI367" s="184"/>
      <c r="AJ367" s="182"/>
      <c r="AK367" s="182" t="s">
        <v>147</v>
      </c>
      <c r="AL367" s="231" t="str">
        <f>VLOOKUP(AK367,'[3]17見直し計画'!$A$50:$AJ$584,6,0)</f>
        <v>　見直し計画策定以降の新規案件</v>
      </c>
      <c r="AM367" s="204">
        <f>VLOOKUP(AK367,'[3]17見直し計画'!$A$50:$AJ$584,8,0)</f>
        <v>0</v>
      </c>
      <c r="AN367" s="224"/>
      <c r="AO367" s="205">
        <f>VLOOKUP(AK367,'[3]17見直し計画'!$A$50:$AJ$584,11,0)</f>
        <v>0</v>
      </c>
      <c r="AP367" s="204">
        <f>VLOOKUP(AK367,'[3]17見直し計画'!$A$50:$AJ$584,12,0)</f>
        <v>0</v>
      </c>
      <c r="AQ367" s="204">
        <f>VLOOKUP(AK367,'[3]17見直し計画'!$A$50:$AJ$584,13,0)</f>
        <v>0</v>
      </c>
      <c r="AR367" s="204">
        <f>VLOOKUP(AK367,'[3]17見直し計画'!$A$50:$AJ$584,14,0)</f>
        <v>0</v>
      </c>
      <c r="AS367" s="204"/>
      <c r="AT367" s="204">
        <f>VLOOKUP(AK367,'[3]17見直し計画'!$A$50:$AJ$584,35,0)</f>
        <v>0</v>
      </c>
      <c r="AU367" s="204">
        <f>VLOOKUP(AK367,'[3]17見直し計画'!$A$50:$AJ$584,36,0)</f>
        <v>0</v>
      </c>
    </row>
    <row r="368" spans="1:47" ht="105" hidden="1" customHeight="1">
      <c r="A368" t="s">
        <v>633</v>
      </c>
      <c r="B368" s="152"/>
      <c r="C368" s="152"/>
      <c r="D368" s="153" t="s">
        <v>421</v>
      </c>
      <c r="E368">
        <f t="shared" si="33"/>
        <v>282</v>
      </c>
      <c r="F368" s="353">
        <v>22</v>
      </c>
      <c r="G368" s="156">
        <v>22</v>
      </c>
      <c r="H368" s="354">
        <v>2200791</v>
      </c>
      <c r="I368" s="158"/>
      <c r="J368" s="354" t="s">
        <v>1622</v>
      </c>
      <c r="K368" s="171" t="s">
        <v>501</v>
      </c>
      <c r="L368" s="171" t="s">
        <v>1202</v>
      </c>
      <c r="M368" s="158" t="s">
        <v>1203</v>
      </c>
      <c r="N368" s="160" t="s">
        <v>1623</v>
      </c>
      <c r="O368" s="161" t="s">
        <v>355</v>
      </c>
      <c r="P368" s="337" t="s">
        <v>163</v>
      </c>
      <c r="Q368" s="355">
        <v>22</v>
      </c>
      <c r="R368" s="356" t="s">
        <v>1624</v>
      </c>
      <c r="S368" s="286" t="s">
        <v>125</v>
      </c>
      <c r="T368" s="339">
        <v>40389</v>
      </c>
      <c r="U368" s="166" t="s">
        <v>372</v>
      </c>
      <c r="V368" s="167" t="s">
        <v>373</v>
      </c>
      <c r="W368" s="163" t="s">
        <v>1550</v>
      </c>
      <c r="X368" s="357">
        <v>696780072</v>
      </c>
      <c r="Y368" s="357">
        <v>696780072</v>
      </c>
      <c r="Z368" s="358">
        <f t="shared" si="32"/>
        <v>1</v>
      </c>
      <c r="AA368" s="342"/>
      <c r="AB368" s="360"/>
      <c r="AC368" s="354">
        <v>1</v>
      </c>
      <c r="AD368" s="170" t="s">
        <v>1625</v>
      </c>
      <c r="AE368" s="171"/>
      <c r="AF368" s="158"/>
      <c r="AG368" s="152" t="s">
        <v>131</v>
      </c>
      <c r="AH368" s="361" t="s">
        <v>171</v>
      </c>
      <c r="AI368" s="154"/>
      <c r="AJ368" s="152"/>
      <c r="AK368" s="152" t="s">
        <v>147</v>
      </c>
      <c r="AL368" s="233" t="str">
        <f>VLOOKUP(AK368,'[3]17見直し計画'!$A$50:$AJ$584,6,0)</f>
        <v>　見直し計画策定以降の新規案件</v>
      </c>
      <c r="AM368" s="174">
        <f>VLOOKUP(AK368,'[3]17見直し計画'!$A$50:$AJ$584,8,0)</f>
        <v>0</v>
      </c>
      <c r="AN368" s="225"/>
      <c r="AO368" s="175">
        <f>VLOOKUP(AK368,'[3]17見直し計画'!$A$50:$AJ$584,11,0)</f>
        <v>0</v>
      </c>
      <c r="AP368" s="174">
        <f>VLOOKUP(AK368,'[3]17見直し計画'!$A$50:$AJ$584,12,0)</f>
        <v>0</v>
      </c>
      <c r="AQ368" s="174">
        <f>VLOOKUP(AK368,'[3]17見直し計画'!$A$50:$AJ$584,13,0)</f>
        <v>0</v>
      </c>
      <c r="AR368" s="174">
        <f>VLOOKUP(AK368,'[3]17見直し計画'!$A$50:$AJ$584,14,0)</f>
        <v>0</v>
      </c>
      <c r="AS368" s="174"/>
      <c r="AT368" s="174">
        <f>VLOOKUP(AK368,'[3]17見直し計画'!$A$50:$AJ$584,35,0)</f>
        <v>0</v>
      </c>
      <c r="AU368" s="174">
        <f>VLOOKUP(AK368,'[3]17見直し計画'!$A$50:$AJ$584,36,0)</f>
        <v>0</v>
      </c>
    </row>
    <row r="369" spans="1:47" ht="105" hidden="1" customHeight="1">
      <c r="B369" s="152"/>
      <c r="C369" s="152"/>
      <c r="D369" s="153" t="s">
        <v>421</v>
      </c>
      <c r="E369">
        <f t="shared" si="33"/>
        <v>283</v>
      </c>
      <c r="F369" s="353">
        <v>23</v>
      </c>
      <c r="G369" s="156">
        <v>23</v>
      </c>
      <c r="H369" s="354">
        <v>2200771</v>
      </c>
      <c r="I369" s="158"/>
      <c r="J369" s="354" t="s">
        <v>1626</v>
      </c>
      <c r="K369" s="171" t="s">
        <v>661</v>
      </c>
      <c r="L369" s="171" t="s">
        <v>1190</v>
      </c>
      <c r="M369" s="158" t="s">
        <v>1223</v>
      </c>
      <c r="N369" s="159" t="s">
        <v>162</v>
      </c>
      <c r="O369" s="403" t="s">
        <v>121</v>
      </c>
      <c r="P369" s="337" t="s">
        <v>163</v>
      </c>
      <c r="Q369" s="355">
        <v>23</v>
      </c>
      <c r="R369" s="356" t="s">
        <v>1627</v>
      </c>
      <c r="S369" s="286" t="s">
        <v>125</v>
      </c>
      <c r="T369" s="339">
        <v>40389</v>
      </c>
      <c r="U369" s="166" t="s">
        <v>1093</v>
      </c>
      <c r="V369" s="167" t="s">
        <v>1094</v>
      </c>
      <c r="W369" s="163" t="s">
        <v>1550</v>
      </c>
      <c r="X369" s="357">
        <v>13280947</v>
      </c>
      <c r="Y369" s="357">
        <v>13280947</v>
      </c>
      <c r="Z369" s="358">
        <f t="shared" si="32"/>
        <v>1</v>
      </c>
      <c r="AA369" s="342">
        <v>0</v>
      </c>
      <c r="AB369" s="360"/>
      <c r="AC369" s="354">
        <v>1</v>
      </c>
      <c r="AD369" s="171" t="s">
        <v>170</v>
      </c>
      <c r="AE369" s="171"/>
      <c r="AF369" s="158"/>
      <c r="AG369" s="152" t="s">
        <v>131</v>
      </c>
      <c r="AH369" s="361" t="s">
        <v>171</v>
      </c>
      <c r="AI369" s="154"/>
      <c r="AJ369" s="152"/>
      <c r="AK369" s="152" t="s">
        <v>147</v>
      </c>
      <c r="AL369" s="233" t="str">
        <f>VLOOKUP(AK369,'[3]17見直し計画'!$A$50:$AJ$584,6,0)</f>
        <v>　見直し計画策定以降の新規案件</v>
      </c>
      <c r="AM369" s="174">
        <f>VLOOKUP(AK369,'[3]17見直し計画'!$A$50:$AJ$584,8,0)</f>
        <v>0</v>
      </c>
      <c r="AN369" s="225"/>
      <c r="AO369" s="175">
        <f>VLOOKUP(AK369,'[3]17見直し計画'!$A$50:$AJ$584,11,0)</f>
        <v>0</v>
      </c>
      <c r="AP369" s="174">
        <f>VLOOKUP(AK369,'[3]17見直し計画'!$A$50:$AJ$584,12,0)</f>
        <v>0</v>
      </c>
      <c r="AQ369" s="174">
        <f>VLOOKUP(AK369,'[3]17見直し計画'!$A$50:$AJ$584,13,0)</f>
        <v>0</v>
      </c>
      <c r="AR369" s="174">
        <f>VLOOKUP(AK369,'[3]17見直し計画'!$A$50:$AJ$584,14,0)</f>
        <v>0</v>
      </c>
      <c r="AS369" s="174"/>
      <c r="AT369" s="174">
        <f>VLOOKUP(AK369,'[3]17見直し計画'!$A$50:$AJ$584,35,0)</f>
        <v>0</v>
      </c>
      <c r="AU369" s="174">
        <f>VLOOKUP(AK369,'[3]17見直し計画'!$A$50:$AJ$584,36,0)</f>
        <v>0</v>
      </c>
    </row>
    <row r="370" spans="1:47" ht="105" hidden="1" customHeight="1">
      <c r="B370" s="182"/>
      <c r="C370" s="182"/>
      <c r="D370" s="223" t="s">
        <v>421</v>
      </c>
      <c r="E370">
        <f t="shared" si="33"/>
        <v>284</v>
      </c>
      <c r="F370" s="185">
        <v>1</v>
      </c>
      <c r="G370" s="186">
        <v>1</v>
      </c>
      <c r="H370" s="188">
        <v>2200570</v>
      </c>
      <c r="I370" s="188">
        <v>1</v>
      </c>
      <c r="J370" s="188" t="s">
        <v>1628</v>
      </c>
      <c r="K370" s="188" t="s">
        <v>229</v>
      </c>
      <c r="L370" s="201" t="s">
        <v>1190</v>
      </c>
      <c r="M370" s="188" t="s">
        <v>1191</v>
      </c>
      <c r="N370" s="190" t="s">
        <v>230</v>
      </c>
      <c r="O370" s="191" t="s">
        <v>139</v>
      </c>
      <c r="P370" s="328" t="s">
        <v>231</v>
      </c>
      <c r="Q370" s="404" t="s">
        <v>1629</v>
      </c>
      <c r="R370" s="193" t="s">
        <v>1630</v>
      </c>
      <c r="S370" s="193" t="s">
        <v>125</v>
      </c>
      <c r="T370" s="330">
        <v>40392</v>
      </c>
      <c r="U370" s="196" t="s">
        <v>1631</v>
      </c>
      <c r="V370" s="197" t="s">
        <v>1632</v>
      </c>
      <c r="W370" s="193" t="s">
        <v>1633</v>
      </c>
      <c r="X370" s="275">
        <v>29780000</v>
      </c>
      <c r="Y370" s="331">
        <v>29764350</v>
      </c>
      <c r="Z370" s="367">
        <f>ROUNDDOWN(Y370/X370,3)</f>
        <v>0.999</v>
      </c>
      <c r="AA370" s="405" t="s">
        <v>129</v>
      </c>
      <c r="AB370" s="406"/>
      <c r="AC370" s="185">
        <v>8</v>
      </c>
      <c r="AD370" s="190" t="s">
        <v>237</v>
      </c>
      <c r="AE370" s="201" t="s">
        <v>1634</v>
      </c>
      <c r="AF370" s="188" t="s">
        <v>1635</v>
      </c>
      <c r="AG370" s="407" t="s">
        <v>1636</v>
      </c>
      <c r="AH370" s="408" t="s">
        <v>238</v>
      </c>
      <c r="AI370" s="184"/>
      <c r="AJ370" s="182"/>
      <c r="AK370" s="182" t="s">
        <v>147</v>
      </c>
      <c r="AL370" s="231" t="str">
        <f>VLOOKUP(AK370,'[3]17見直し計画'!$A$50:$AJ$584,6,0)</f>
        <v>　見直し計画策定以降の新規案件</v>
      </c>
      <c r="AM370" s="204">
        <f>VLOOKUP(AK370,'[3]17見直し計画'!$A$50:$AJ$584,8,0)</f>
        <v>0</v>
      </c>
      <c r="AN370" s="224"/>
      <c r="AO370" s="205">
        <f>VLOOKUP(AK370,'[3]17見直し計画'!$A$50:$AJ$584,11,0)</f>
        <v>0</v>
      </c>
      <c r="AP370" s="204">
        <f>VLOOKUP(AK370,'[3]17見直し計画'!$A$50:$AJ$584,12,0)</f>
        <v>0</v>
      </c>
      <c r="AQ370" s="204">
        <f>VLOOKUP(AK370,'[3]17見直し計画'!$A$50:$AJ$584,13,0)</f>
        <v>0</v>
      </c>
      <c r="AR370" s="204">
        <f>VLOOKUP(AK370,'[3]17見直し計画'!$A$50:$AJ$584,14,0)</f>
        <v>0</v>
      </c>
      <c r="AS370" s="204"/>
      <c r="AT370" s="204">
        <f>VLOOKUP(AK370,'[3]17見直し計画'!$A$50:$AJ$584,35,0)</f>
        <v>0</v>
      </c>
      <c r="AU370" s="204">
        <f>VLOOKUP(AK370,'[3]17見直し計画'!$A$50:$AJ$584,36,0)</f>
        <v>0</v>
      </c>
    </row>
    <row r="371" spans="1:47" ht="105" hidden="1" customHeight="1">
      <c r="B371" s="182"/>
      <c r="C371" s="182"/>
      <c r="D371" s="223" t="s">
        <v>421</v>
      </c>
      <c r="E371">
        <f t="shared" si="33"/>
        <v>285</v>
      </c>
      <c r="F371" s="185">
        <f>IF(G371&gt;0,F370+1,"")</f>
        <v>2</v>
      </c>
      <c r="G371" s="186">
        <v>2</v>
      </c>
      <c r="H371" s="188">
        <v>2200765</v>
      </c>
      <c r="I371" s="188">
        <v>1</v>
      </c>
      <c r="J371" s="188" t="s">
        <v>1637</v>
      </c>
      <c r="K371" s="188" t="s">
        <v>1638</v>
      </c>
      <c r="L371" s="201" t="s">
        <v>1190</v>
      </c>
      <c r="M371" s="188" t="s">
        <v>1448</v>
      </c>
      <c r="N371" s="190" t="s">
        <v>277</v>
      </c>
      <c r="O371" s="191" t="s">
        <v>121</v>
      </c>
      <c r="P371" s="328" t="s">
        <v>231</v>
      </c>
      <c r="Q371" s="404" t="s">
        <v>1639</v>
      </c>
      <c r="R371" s="193" t="s">
        <v>1640</v>
      </c>
      <c r="S371" s="193" t="s">
        <v>125</v>
      </c>
      <c r="T371" s="330">
        <v>40392</v>
      </c>
      <c r="U371" s="196" t="s">
        <v>1641</v>
      </c>
      <c r="V371" s="197" t="s">
        <v>1642</v>
      </c>
      <c r="W371" s="193" t="s">
        <v>1643</v>
      </c>
      <c r="X371" s="275">
        <v>11303000</v>
      </c>
      <c r="Y371" s="331">
        <v>10952944</v>
      </c>
      <c r="Z371" s="367">
        <f t="shared" ref="Z371:Z401" si="34">ROUNDDOWN(Y371/X371,3)</f>
        <v>0.96899999999999997</v>
      </c>
      <c r="AA371" s="409">
        <v>0</v>
      </c>
      <c r="AB371" s="406"/>
      <c r="AC371" s="185">
        <v>1</v>
      </c>
      <c r="AD371" s="190" t="s">
        <v>283</v>
      </c>
      <c r="AE371" s="201" t="s">
        <v>1634</v>
      </c>
      <c r="AF371" s="188" t="s">
        <v>1635</v>
      </c>
      <c r="AG371" s="407" t="s">
        <v>1636</v>
      </c>
      <c r="AH371" s="408" t="s">
        <v>171</v>
      </c>
      <c r="AI371" s="184"/>
      <c r="AJ371" s="182"/>
      <c r="AK371" s="182" t="s">
        <v>147</v>
      </c>
      <c r="AL371" s="231" t="str">
        <f>VLOOKUP(AK371,'[3]17見直し計画'!$A$50:$AJ$584,6,0)</f>
        <v>　見直し計画策定以降の新規案件</v>
      </c>
      <c r="AM371" s="204">
        <f>VLOOKUP(AK371,'[3]17見直し計画'!$A$50:$AJ$584,8,0)</f>
        <v>0</v>
      </c>
      <c r="AN371" s="224"/>
      <c r="AO371" s="205">
        <f>VLOOKUP(AK371,'[3]17見直し計画'!$A$50:$AJ$584,11,0)</f>
        <v>0</v>
      </c>
      <c r="AP371" s="204">
        <f>VLOOKUP(AK371,'[3]17見直し計画'!$A$50:$AJ$584,12,0)</f>
        <v>0</v>
      </c>
      <c r="AQ371" s="204">
        <f>VLOOKUP(AK371,'[3]17見直し計画'!$A$50:$AJ$584,13,0)</f>
        <v>0</v>
      </c>
      <c r="AR371" s="204">
        <f>VLOOKUP(AK371,'[3]17見直し計画'!$A$50:$AJ$584,14,0)</f>
        <v>0</v>
      </c>
      <c r="AS371" s="204"/>
      <c r="AT371" s="204">
        <f>VLOOKUP(AK371,'[3]17見直し計画'!$A$50:$AJ$584,35,0)</f>
        <v>0</v>
      </c>
      <c r="AU371" s="204">
        <f>VLOOKUP(AK371,'[3]17見直し計画'!$A$50:$AJ$584,36,0)</f>
        <v>0</v>
      </c>
    </row>
    <row r="372" spans="1:47" ht="105" hidden="1" customHeight="1">
      <c r="B372" s="126" t="s">
        <v>1644</v>
      </c>
      <c r="C372" s="120" t="s">
        <v>135</v>
      </c>
      <c r="D372" s="121" t="s">
        <v>136</v>
      </c>
      <c r="E372">
        <f t="shared" si="33"/>
        <v>286</v>
      </c>
      <c r="F372" s="122">
        <f t="shared" ref="F372:F401" si="35">IF(G372&gt;0,F371+1,"")</f>
        <v>3</v>
      </c>
      <c r="G372" s="123">
        <v>3</v>
      </c>
      <c r="H372" s="238">
        <v>2200776</v>
      </c>
      <c r="I372" s="238">
        <v>1</v>
      </c>
      <c r="J372" s="238" t="s">
        <v>1645</v>
      </c>
      <c r="K372" s="238" t="s">
        <v>1646</v>
      </c>
      <c r="L372" s="239" t="s">
        <v>1190</v>
      </c>
      <c r="M372" s="238" t="s">
        <v>1448</v>
      </c>
      <c r="N372" s="127" t="s">
        <v>138</v>
      </c>
      <c r="O372" s="128" t="s">
        <v>139</v>
      </c>
      <c r="P372" s="321" t="s">
        <v>122</v>
      </c>
      <c r="Q372" s="410" t="s">
        <v>1647</v>
      </c>
      <c r="R372" s="130" t="s">
        <v>1648</v>
      </c>
      <c r="S372" s="130" t="s">
        <v>125</v>
      </c>
      <c r="T372" s="323">
        <v>40392</v>
      </c>
      <c r="U372" s="133" t="s">
        <v>1649</v>
      </c>
      <c r="V372" s="134" t="s">
        <v>1650</v>
      </c>
      <c r="W372" s="130" t="s">
        <v>1651</v>
      </c>
      <c r="X372" s="265">
        <v>1647555</v>
      </c>
      <c r="Y372" s="241">
        <v>1647555</v>
      </c>
      <c r="Z372" s="383">
        <f t="shared" si="34"/>
        <v>1</v>
      </c>
      <c r="AA372" s="411" t="s">
        <v>129</v>
      </c>
      <c r="AB372" s="412"/>
      <c r="AC372" s="122">
        <v>0</v>
      </c>
      <c r="AD372" s="127" t="s">
        <v>146</v>
      </c>
      <c r="AE372" s="138" t="s">
        <v>1652</v>
      </c>
      <c r="AF372" s="125" t="s">
        <v>1635</v>
      </c>
      <c r="AG372" s="413" t="s">
        <v>1636</v>
      </c>
      <c r="AH372" s="414" t="s">
        <v>132</v>
      </c>
      <c r="AJ372" s="120"/>
      <c r="AK372" s="120" t="s">
        <v>147</v>
      </c>
      <c r="AL372" s="232" t="str">
        <f>VLOOKUP(AK372,'[3]17見直し計画'!$A$50:$AJ$584,6,0)</f>
        <v>　見直し計画策定以降の新規案件</v>
      </c>
      <c r="AM372" s="140">
        <f>VLOOKUP(AK372,'[3]17見直し計画'!$A$50:$AJ$584,8,0)</f>
        <v>0</v>
      </c>
      <c r="AN372" s="180"/>
      <c r="AO372" s="141">
        <f>VLOOKUP(AK372,'[3]17見直し計画'!$A$50:$AJ$584,11,0)</f>
        <v>0</v>
      </c>
      <c r="AP372" s="140">
        <f>VLOOKUP(AK372,'[3]17見直し計画'!$A$50:$AJ$584,12,0)</f>
        <v>0</v>
      </c>
      <c r="AQ372" s="140">
        <f>VLOOKUP(AK372,'[3]17見直し計画'!$A$50:$AJ$584,13,0)</f>
        <v>0</v>
      </c>
      <c r="AR372" s="140">
        <f>VLOOKUP(AK372,'[3]17見直し計画'!$A$50:$AJ$584,14,0)</f>
        <v>0</v>
      </c>
      <c r="AS372" s="140"/>
      <c r="AT372" s="140">
        <f>VLOOKUP(AK372,'[3]17見直し計画'!$A$50:$AJ$584,35,0)</f>
        <v>0</v>
      </c>
      <c r="AU372" s="140">
        <f>VLOOKUP(AK372,'[3]17見直し計画'!$A$50:$AJ$584,36,0)</f>
        <v>0</v>
      </c>
    </row>
    <row r="373" spans="1:47" ht="105" hidden="1" customHeight="1">
      <c r="A373" t="s">
        <v>148</v>
      </c>
      <c r="B373" s="182"/>
      <c r="C373" s="182"/>
      <c r="D373" s="223" t="s">
        <v>421</v>
      </c>
      <c r="E373">
        <f t="shared" si="33"/>
        <v>287</v>
      </c>
      <c r="F373" s="185">
        <f t="shared" si="35"/>
        <v>4</v>
      </c>
      <c r="G373" s="186">
        <v>4</v>
      </c>
      <c r="H373" s="188">
        <v>2200923</v>
      </c>
      <c r="I373" s="188">
        <v>1</v>
      </c>
      <c r="J373" s="188" t="s">
        <v>1653</v>
      </c>
      <c r="K373" s="188" t="s">
        <v>501</v>
      </c>
      <c r="L373" s="201" t="s">
        <v>1654</v>
      </c>
      <c r="M373" s="188" t="s">
        <v>1655</v>
      </c>
      <c r="N373" s="190" t="s">
        <v>230</v>
      </c>
      <c r="O373" s="191" t="s">
        <v>139</v>
      </c>
      <c r="P373" s="328" t="s">
        <v>231</v>
      </c>
      <c r="Q373" s="404" t="s">
        <v>1656</v>
      </c>
      <c r="R373" s="193" t="s">
        <v>1657</v>
      </c>
      <c r="S373" s="193" t="s">
        <v>125</v>
      </c>
      <c r="T373" s="330">
        <v>40394</v>
      </c>
      <c r="U373" s="196" t="s">
        <v>234</v>
      </c>
      <c r="V373" s="197" t="s">
        <v>235</v>
      </c>
      <c r="W373" s="193" t="s">
        <v>1643</v>
      </c>
      <c r="X373" s="275">
        <v>30000000</v>
      </c>
      <c r="Y373" s="415">
        <v>151316493</v>
      </c>
      <c r="Z373" s="367">
        <f t="shared" si="34"/>
        <v>5.0430000000000001</v>
      </c>
      <c r="AA373" s="416" t="s">
        <v>129</v>
      </c>
      <c r="AB373" s="271" t="s">
        <v>1658</v>
      </c>
      <c r="AC373" s="185">
        <v>2</v>
      </c>
      <c r="AD373" s="190" t="s">
        <v>427</v>
      </c>
      <c r="AE373" s="201" t="s">
        <v>1634</v>
      </c>
      <c r="AF373" s="188" t="s">
        <v>1635</v>
      </c>
      <c r="AG373" s="407" t="s">
        <v>1636</v>
      </c>
      <c r="AH373" s="408" t="s">
        <v>428</v>
      </c>
      <c r="AI373" s="184"/>
      <c r="AJ373" s="182"/>
      <c r="AK373" s="182" t="s">
        <v>147</v>
      </c>
      <c r="AL373" s="231" t="str">
        <f>VLOOKUP(AK373,'[3]17見直し計画'!$A$50:$AJ$584,6,0)</f>
        <v>　見直し計画策定以降の新規案件</v>
      </c>
      <c r="AM373" s="204">
        <f>VLOOKUP(AK373,'[3]17見直し計画'!$A$50:$AJ$584,8,0)</f>
        <v>0</v>
      </c>
      <c r="AN373" s="224"/>
      <c r="AO373" s="205">
        <f>VLOOKUP(AK373,'[3]17見直し計画'!$A$50:$AJ$584,11,0)</f>
        <v>0</v>
      </c>
      <c r="AP373" s="204">
        <f>VLOOKUP(AK373,'[3]17見直し計画'!$A$50:$AJ$584,12,0)</f>
        <v>0</v>
      </c>
      <c r="AQ373" s="204">
        <f>VLOOKUP(AK373,'[3]17見直し計画'!$A$50:$AJ$584,13,0)</f>
        <v>0</v>
      </c>
      <c r="AR373" s="204">
        <f>VLOOKUP(AK373,'[3]17見直し計画'!$A$50:$AJ$584,14,0)</f>
        <v>0</v>
      </c>
      <c r="AS373" s="204"/>
      <c r="AT373" s="204">
        <f>VLOOKUP(AK373,'[3]17見直し計画'!$A$50:$AJ$584,35,0)</f>
        <v>0</v>
      </c>
      <c r="AU373" s="204">
        <f>VLOOKUP(AK373,'[3]17見直し計画'!$A$50:$AJ$584,36,0)</f>
        <v>0</v>
      </c>
    </row>
    <row r="374" spans="1:47" ht="105" hidden="1" customHeight="1">
      <c r="B374" s="126" t="s">
        <v>284</v>
      </c>
      <c r="C374" s="120" t="s">
        <v>135</v>
      </c>
      <c r="D374" s="121" t="s">
        <v>136</v>
      </c>
      <c r="E374">
        <f t="shared" si="33"/>
        <v>288</v>
      </c>
      <c r="F374" s="122">
        <f t="shared" si="35"/>
        <v>5</v>
      </c>
      <c r="G374" s="123">
        <v>5</v>
      </c>
      <c r="H374" s="238">
        <v>2200807</v>
      </c>
      <c r="I374" s="238">
        <v>1</v>
      </c>
      <c r="J374" s="238"/>
      <c r="K374" s="238" t="s">
        <v>345</v>
      </c>
      <c r="L374" s="239" t="s">
        <v>1488</v>
      </c>
      <c r="M374" s="238" t="s">
        <v>1659</v>
      </c>
      <c r="N374" s="127" t="s">
        <v>138</v>
      </c>
      <c r="O374" s="128" t="s">
        <v>139</v>
      </c>
      <c r="P374" s="321" t="s">
        <v>122</v>
      </c>
      <c r="Q374" s="417" t="s">
        <v>1660</v>
      </c>
      <c r="R374" s="130" t="s">
        <v>1661</v>
      </c>
      <c r="S374" s="130" t="s">
        <v>125</v>
      </c>
      <c r="T374" s="323">
        <v>40395</v>
      </c>
      <c r="U374" s="133" t="s">
        <v>1662</v>
      </c>
      <c r="V374" s="134" t="s">
        <v>1663</v>
      </c>
      <c r="W374" s="130" t="s">
        <v>1664</v>
      </c>
      <c r="X374" s="265">
        <v>1616597</v>
      </c>
      <c r="Y374" s="241">
        <v>1480500</v>
      </c>
      <c r="Z374" s="383">
        <f t="shared" si="34"/>
        <v>0.91500000000000004</v>
      </c>
      <c r="AA374" s="418" t="s">
        <v>129</v>
      </c>
      <c r="AB374" s="412"/>
      <c r="AC374" s="122">
        <v>0</v>
      </c>
      <c r="AD374" s="127" t="s">
        <v>146</v>
      </c>
      <c r="AE374" s="138" t="s">
        <v>1652</v>
      </c>
      <c r="AF374" s="125" t="s">
        <v>1665</v>
      </c>
      <c r="AG374" s="413" t="s">
        <v>1636</v>
      </c>
      <c r="AH374" s="414" t="s">
        <v>132</v>
      </c>
      <c r="AJ374" s="120"/>
      <c r="AK374" s="120" t="s">
        <v>147</v>
      </c>
      <c r="AL374" s="232" t="str">
        <f>VLOOKUP(AK374,'[3]17見直し計画'!$A$50:$AJ$584,6,0)</f>
        <v>　見直し計画策定以降の新規案件</v>
      </c>
      <c r="AM374" s="140">
        <f>VLOOKUP(AK374,'[3]17見直し計画'!$A$50:$AJ$584,8,0)</f>
        <v>0</v>
      </c>
      <c r="AN374" s="180"/>
      <c r="AO374" s="141">
        <f>VLOOKUP(AK374,'[3]17見直し計画'!$A$50:$AJ$584,11,0)</f>
        <v>0</v>
      </c>
      <c r="AP374" s="140">
        <f>VLOOKUP(AK374,'[3]17見直し計画'!$A$50:$AJ$584,12,0)</f>
        <v>0</v>
      </c>
      <c r="AQ374" s="140">
        <f>VLOOKUP(AK374,'[3]17見直し計画'!$A$50:$AJ$584,13,0)</f>
        <v>0</v>
      </c>
      <c r="AR374" s="140">
        <f>VLOOKUP(AK374,'[3]17見直し計画'!$A$50:$AJ$584,14,0)</f>
        <v>0</v>
      </c>
      <c r="AS374" s="140"/>
      <c r="AT374" s="140">
        <f>VLOOKUP(AK374,'[3]17見直し計画'!$A$50:$AJ$584,35,0)</f>
        <v>0</v>
      </c>
      <c r="AU374" s="140">
        <f>VLOOKUP(AK374,'[3]17見直し計画'!$A$50:$AJ$584,36,0)</f>
        <v>0</v>
      </c>
    </row>
    <row r="375" spans="1:47" ht="105" hidden="1" customHeight="1">
      <c r="A375" t="s">
        <v>148</v>
      </c>
      <c r="B375" s="291" t="s">
        <v>218</v>
      </c>
      <c r="C375" s="178" t="s">
        <v>135</v>
      </c>
      <c r="D375" s="419" t="s">
        <v>136</v>
      </c>
      <c r="E375">
        <f t="shared" si="33"/>
        <v>289</v>
      </c>
      <c r="F375" s="122">
        <f t="shared" si="35"/>
        <v>6</v>
      </c>
      <c r="G375" s="123">
        <v>6</v>
      </c>
      <c r="H375" s="238">
        <v>2200927</v>
      </c>
      <c r="I375" s="238"/>
      <c r="J375" s="238" t="s">
        <v>1666</v>
      </c>
      <c r="K375" s="238" t="s">
        <v>501</v>
      </c>
      <c r="L375" s="239" t="s">
        <v>1654</v>
      </c>
      <c r="M375" s="238" t="s">
        <v>1655</v>
      </c>
      <c r="N375" s="127" t="s">
        <v>138</v>
      </c>
      <c r="O375" s="128" t="s">
        <v>139</v>
      </c>
      <c r="P375" s="321" t="s">
        <v>122</v>
      </c>
      <c r="Q375" s="410" t="s">
        <v>1667</v>
      </c>
      <c r="R375" s="130" t="s">
        <v>1668</v>
      </c>
      <c r="S375" s="130" t="s">
        <v>125</v>
      </c>
      <c r="T375" s="323">
        <v>40395</v>
      </c>
      <c r="U375" s="133" t="s">
        <v>1669</v>
      </c>
      <c r="V375" s="134" t="s">
        <v>449</v>
      </c>
      <c r="W375" s="130" t="s">
        <v>1670</v>
      </c>
      <c r="X375" s="265">
        <v>2338701</v>
      </c>
      <c r="Y375" s="415">
        <v>953420</v>
      </c>
      <c r="Z375" s="383">
        <f t="shared" si="34"/>
        <v>0.40699999999999997</v>
      </c>
      <c r="AA375" s="418" t="s">
        <v>129</v>
      </c>
      <c r="AB375" s="261" t="s">
        <v>1671</v>
      </c>
      <c r="AC375" s="122">
        <v>0</v>
      </c>
      <c r="AD375" s="127" t="s">
        <v>146</v>
      </c>
      <c r="AE375" s="138" t="s">
        <v>1652</v>
      </c>
      <c r="AF375" s="125" t="s">
        <v>1635</v>
      </c>
      <c r="AG375" s="413" t="s">
        <v>1636</v>
      </c>
      <c r="AH375" s="414" t="s">
        <v>132</v>
      </c>
      <c r="AJ375" s="120"/>
      <c r="AK375" s="120" t="s">
        <v>147</v>
      </c>
      <c r="AL375" s="232" t="str">
        <f>VLOOKUP(AK375,'[3]17見直し計画'!$A$50:$AJ$584,6,0)</f>
        <v>　見直し計画策定以降の新規案件</v>
      </c>
      <c r="AM375" s="140">
        <f>VLOOKUP(AK375,'[3]17見直し計画'!$A$50:$AJ$584,8,0)</f>
        <v>0</v>
      </c>
      <c r="AN375" s="180"/>
      <c r="AO375" s="141">
        <f>VLOOKUP(AK375,'[3]17見直し計画'!$A$50:$AJ$584,11,0)</f>
        <v>0</v>
      </c>
      <c r="AP375" s="140">
        <f>VLOOKUP(AK375,'[3]17見直し計画'!$A$50:$AJ$584,12,0)</f>
        <v>0</v>
      </c>
      <c r="AQ375" s="140">
        <f>VLOOKUP(AK375,'[3]17見直し計画'!$A$50:$AJ$584,13,0)</f>
        <v>0</v>
      </c>
      <c r="AR375" s="140">
        <f>VLOOKUP(AK375,'[3]17見直し計画'!$A$50:$AJ$584,14,0)</f>
        <v>0</v>
      </c>
      <c r="AS375" s="140"/>
      <c r="AT375" s="140">
        <f>VLOOKUP(AK375,'[3]17見直し計画'!$A$50:$AJ$584,35,0)</f>
        <v>0</v>
      </c>
      <c r="AU375" s="140">
        <f>VLOOKUP(AK375,'[3]17見直し計画'!$A$50:$AJ$584,36,0)</f>
        <v>0</v>
      </c>
    </row>
    <row r="376" spans="1:47" ht="105" hidden="1" customHeight="1">
      <c r="B376" s="182"/>
      <c r="C376" s="182"/>
      <c r="D376" s="223" t="s">
        <v>421</v>
      </c>
      <c r="E376">
        <f t="shared" si="33"/>
        <v>290</v>
      </c>
      <c r="F376" s="185">
        <f t="shared" si="35"/>
        <v>7</v>
      </c>
      <c r="G376" s="186">
        <v>7</v>
      </c>
      <c r="H376" s="188">
        <v>2200786</v>
      </c>
      <c r="I376" s="188">
        <v>1</v>
      </c>
      <c r="J376" s="188" t="s">
        <v>1672</v>
      </c>
      <c r="K376" s="188" t="s">
        <v>433</v>
      </c>
      <c r="L376" s="201" t="s">
        <v>1190</v>
      </c>
      <c r="M376" s="188" t="s">
        <v>1448</v>
      </c>
      <c r="N376" s="190" t="s">
        <v>277</v>
      </c>
      <c r="O376" s="191" t="s">
        <v>121</v>
      </c>
      <c r="P376" s="328" t="s">
        <v>231</v>
      </c>
      <c r="Q376" s="404" t="s">
        <v>1673</v>
      </c>
      <c r="R376" s="193" t="s">
        <v>1674</v>
      </c>
      <c r="S376" s="193" t="s">
        <v>125</v>
      </c>
      <c r="T376" s="274">
        <v>40396</v>
      </c>
      <c r="U376" s="196" t="s">
        <v>1675</v>
      </c>
      <c r="V376" s="197" t="s">
        <v>781</v>
      </c>
      <c r="W376" s="193" t="s">
        <v>1643</v>
      </c>
      <c r="X376" s="275">
        <v>7990000</v>
      </c>
      <c r="Y376" s="331">
        <v>7852806</v>
      </c>
      <c r="Z376" s="367">
        <f t="shared" si="34"/>
        <v>0.98199999999999998</v>
      </c>
      <c r="AA376" s="409">
        <v>1</v>
      </c>
      <c r="AB376" s="406"/>
      <c r="AC376" s="185">
        <v>2</v>
      </c>
      <c r="AD376" s="190" t="s">
        <v>1249</v>
      </c>
      <c r="AE376" s="201" t="s">
        <v>1634</v>
      </c>
      <c r="AF376" s="188" t="s">
        <v>1635</v>
      </c>
      <c r="AG376" s="407" t="s">
        <v>1636</v>
      </c>
      <c r="AH376" s="408" t="s">
        <v>428</v>
      </c>
      <c r="AI376" s="184"/>
      <c r="AJ376" s="182"/>
      <c r="AK376" s="182" t="s">
        <v>147</v>
      </c>
      <c r="AL376" s="231" t="str">
        <f>VLOOKUP(AK376,'[3]17見直し計画'!$A$50:$AJ$584,6,0)</f>
        <v>　見直し計画策定以降の新規案件</v>
      </c>
      <c r="AM376" s="204">
        <f>VLOOKUP(AK376,'[3]17見直し計画'!$A$50:$AJ$584,8,0)</f>
        <v>0</v>
      </c>
      <c r="AN376" s="224"/>
      <c r="AO376" s="205">
        <f>VLOOKUP(AK376,'[3]17見直し計画'!$A$50:$AJ$584,11,0)</f>
        <v>0</v>
      </c>
      <c r="AP376" s="204">
        <f>VLOOKUP(AK376,'[3]17見直し計画'!$A$50:$AJ$584,12,0)</f>
        <v>0</v>
      </c>
      <c r="AQ376" s="204">
        <f>VLOOKUP(AK376,'[3]17見直し計画'!$A$50:$AJ$584,13,0)</f>
        <v>0</v>
      </c>
      <c r="AR376" s="204">
        <f>VLOOKUP(AK376,'[3]17見直し計画'!$A$50:$AJ$584,14,0)</f>
        <v>0</v>
      </c>
      <c r="AS376" s="204"/>
      <c r="AT376" s="204">
        <f>VLOOKUP(AK376,'[3]17見直し計画'!$A$50:$AJ$584,35,0)</f>
        <v>0</v>
      </c>
      <c r="AU376" s="204">
        <f>VLOOKUP(AK376,'[3]17見直し計画'!$A$50:$AJ$584,36,0)</f>
        <v>0</v>
      </c>
    </row>
    <row r="377" spans="1:47" ht="105" hidden="1" customHeight="1">
      <c r="B377" s="182"/>
      <c r="C377" s="182"/>
      <c r="D377" s="223" t="s">
        <v>1124</v>
      </c>
      <c r="E377">
        <f t="shared" si="33"/>
        <v>291</v>
      </c>
      <c r="F377" s="185">
        <f t="shared" si="35"/>
        <v>8</v>
      </c>
      <c r="G377" s="186">
        <v>8</v>
      </c>
      <c r="H377" s="188">
        <v>2200772</v>
      </c>
      <c r="I377" s="188">
        <v>1</v>
      </c>
      <c r="J377" s="188" t="s">
        <v>1676</v>
      </c>
      <c r="K377" s="188" t="s">
        <v>746</v>
      </c>
      <c r="L377" s="201" t="s">
        <v>1163</v>
      </c>
      <c r="M377" s="188" t="s">
        <v>1175</v>
      </c>
      <c r="N377" s="190" t="s">
        <v>911</v>
      </c>
      <c r="O377" s="191" t="s">
        <v>688</v>
      </c>
      <c r="P377" s="328" t="s">
        <v>231</v>
      </c>
      <c r="Q377" s="404" t="s">
        <v>1677</v>
      </c>
      <c r="R377" s="193" t="s">
        <v>1678</v>
      </c>
      <c r="S377" s="193" t="s">
        <v>125</v>
      </c>
      <c r="T377" s="274">
        <v>40400</v>
      </c>
      <c r="U377" s="196" t="s">
        <v>1615</v>
      </c>
      <c r="V377" s="197" t="s">
        <v>1616</v>
      </c>
      <c r="W377" s="193" t="s">
        <v>1643</v>
      </c>
      <c r="X377" s="275">
        <v>1500000</v>
      </c>
      <c r="Y377" s="331">
        <v>1493022</v>
      </c>
      <c r="Z377" s="367">
        <f t="shared" si="34"/>
        <v>0.995</v>
      </c>
      <c r="AA377" s="405" t="s">
        <v>129</v>
      </c>
      <c r="AB377" s="406"/>
      <c r="AC377" s="185">
        <v>4</v>
      </c>
      <c r="AD377" s="190" t="s">
        <v>1168</v>
      </c>
      <c r="AE377" s="201" t="s">
        <v>1634</v>
      </c>
      <c r="AF377" s="188" t="s">
        <v>1635</v>
      </c>
      <c r="AG377" s="407" t="s">
        <v>1636</v>
      </c>
      <c r="AH377" s="408" t="s">
        <v>238</v>
      </c>
      <c r="AI377" s="184"/>
      <c r="AJ377" s="182"/>
      <c r="AK377" s="182" t="s">
        <v>1679</v>
      </c>
      <c r="AL377" s="231" t="str">
        <f>VLOOKUP(AK377,'[3]17見直し計画'!$A$50:$AJ$584,6,0)</f>
        <v>学校法人佐野学園</v>
      </c>
      <c r="AM377" s="204" t="str">
        <f>VLOOKUP(AK377,'[3]17見直し計画'!$A$50:$AJ$584,8,0)</f>
        <v>中堅職員英語研修実施契約</v>
      </c>
      <c r="AN377" s="224">
        <f>VLOOKUP(AK377,'[3]17見直し計画'!$A$50:$AJ$584,10,0)</f>
        <v>38597</v>
      </c>
      <c r="AO377" s="205">
        <f>VLOOKUP(AK377,'[3]17見直し計画'!$A$50:$AJ$584,11,0)</f>
        <v>1340000</v>
      </c>
      <c r="AP377" s="204" t="str">
        <f>VLOOKUP(AK377,'[3]17見直し計画'!$A$50:$AJ$584,12,0)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377" s="204" t="str">
        <f>VLOOKUP(AK377,'[3]17見直し計画'!$A$50:$AJ$584,13,0)</f>
        <v>見直しの余地があるもの</v>
      </c>
      <c r="AR377" s="204" t="str">
        <f>VLOOKUP(AK377,'[3]17見直し計画'!$A$50:$AJ$584,14,0)</f>
        <v>企画招請を実施（１８年度以降も引き続き実施）</v>
      </c>
      <c r="AS377" s="204"/>
      <c r="AT377" s="204">
        <f>VLOOKUP(AK377,'[3]17見直し計画'!$A$50:$AJ$584,35,0)</f>
        <v>0</v>
      </c>
      <c r="AU377" s="204">
        <f>VLOOKUP(AK377,'[3]17見直し計画'!$A$50:$AJ$584,36,0)</f>
        <v>0</v>
      </c>
    </row>
    <row r="378" spans="1:47" ht="105" hidden="1" customHeight="1">
      <c r="A378" t="s">
        <v>633</v>
      </c>
      <c r="B378" s="291" t="s">
        <v>1680</v>
      </c>
      <c r="C378" s="178" t="s">
        <v>135</v>
      </c>
      <c r="D378" s="178" t="s">
        <v>136</v>
      </c>
      <c r="E378">
        <f t="shared" si="33"/>
        <v>292</v>
      </c>
      <c r="F378" s="122">
        <f t="shared" si="35"/>
        <v>9</v>
      </c>
      <c r="G378" s="123">
        <v>9</v>
      </c>
      <c r="H378" s="238">
        <v>2200925</v>
      </c>
      <c r="I378" s="238">
        <v>1</v>
      </c>
      <c r="J378" s="238" t="s">
        <v>1681</v>
      </c>
      <c r="K378" s="238" t="s">
        <v>501</v>
      </c>
      <c r="L378" s="239" t="s">
        <v>1654</v>
      </c>
      <c r="M378" s="238" t="s">
        <v>1655</v>
      </c>
      <c r="N378" s="127" t="s">
        <v>186</v>
      </c>
      <c r="O378" s="128" t="s">
        <v>187</v>
      </c>
      <c r="P378" s="321" t="s">
        <v>122</v>
      </c>
      <c r="Q378" s="410" t="s">
        <v>1682</v>
      </c>
      <c r="R378" s="130" t="s">
        <v>1683</v>
      </c>
      <c r="S378" s="130" t="s">
        <v>125</v>
      </c>
      <c r="T378" s="264">
        <v>40401</v>
      </c>
      <c r="U378" s="133" t="s">
        <v>1684</v>
      </c>
      <c r="V378" s="134" t="s">
        <v>1685</v>
      </c>
      <c r="W378" s="130" t="s">
        <v>1686</v>
      </c>
      <c r="X378" s="265">
        <v>2192400</v>
      </c>
      <c r="Y378" s="420">
        <v>986580</v>
      </c>
      <c r="Z378" s="383">
        <f t="shared" si="34"/>
        <v>0.45</v>
      </c>
      <c r="AA378" s="418" t="s">
        <v>129</v>
      </c>
      <c r="AB378" s="261" t="s">
        <v>1687</v>
      </c>
      <c r="AC378" s="122">
        <v>0</v>
      </c>
      <c r="AD378" s="127" t="s">
        <v>192</v>
      </c>
      <c r="AE378" s="138" t="s">
        <v>1652</v>
      </c>
      <c r="AF378" s="125" t="s">
        <v>1635</v>
      </c>
      <c r="AG378" s="413" t="s">
        <v>1636</v>
      </c>
      <c r="AH378" s="414" t="s">
        <v>132</v>
      </c>
      <c r="AJ378" s="120"/>
      <c r="AK378" s="120" t="s">
        <v>147</v>
      </c>
      <c r="AL378" s="232" t="str">
        <f>VLOOKUP(AK378,'[3]17見直し計画'!$A$50:$AJ$584,6,0)</f>
        <v>　見直し計画策定以降の新規案件</v>
      </c>
      <c r="AM378" s="140">
        <f>VLOOKUP(AK378,'[3]17見直し計画'!$A$50:$AJ$584,8,0)</f>
        <v>0</v>
      </c>
      <c r="AN378" s="180"/>
      <c r="AO378" s="141">
        <f>VLOOKUP(AK378,'[3]17見直し計画'!$A$50:$AJ$584,11,0)</f>
        <v>0</v>
      </c>
      <c r="AP378" s="140">
        <f>VLOOKUP(AK378,'[3]17見直し計画'!$A$50:$AJ$584,12,0)</f>
        <v>0</v>
      </c>
      <c r="AQ378" s="140">
        <f>VLOOKUP(AK378,'[3]17見直し計画'!$A$50:$AJ$584,13,0)</f>
        <v>0</v>
      </c>
      <c r="AR378" s="140">
        <f>VLOOKUP(AK378,'[3]17見直し計画'!$A$50:$AJ$584,14,0)</f>
        <v>0</v>
      </c>
      <c r="AS378" s="140"/>
      <c r="AT378" s="140">
        <f>VLOOKUP(AK378,'[3]17見直し計画'!$A$50:$AJ$584,35,0)</f>
        <v>0</v>
      </c>
      <c r="AU378" s="140">
        <f>VLOOKUP(AK378,'[3]17見直し計画'!$A$50:$AJ$584,36,0)</f>
        <v>0</v>
      </c>
    </row>
    <row r="379" spans="1:47" ht="105" hidden="1" customHeight="1">
      <c r="B379" s="126" t="s">
        <v>134</v>
      </c>
      <c r="C379" s="120" t="s">
        <v>135</v>
      </c>
      <c r="D379" s="120" t="s">
        <v>136</v>
      </c>
      <c r="E379">
        <f t="shared" si="33"/>
        <v>293</v>
      </c>
      <c r="F379" s="122">
        <f t="shared" si="35"/>
        <v>10</v>
      </c>
      <c r="G379" s="123">
        <v>10</v>
      </c>
      <c r="H379" s="238">
        <v>2200802</v>
      </c>
      <c r="I379" s="238">
        <v>1</v>
      </c>
      <c r="J379" s="238" t="s">
        <v>1688</v>
      </c>
      <c r="K379" s="238" t="s">
        <v>195</v>
      </c>
      <c r="L379" s="239" t="s">
        <v>1182</v>
      </c>
      <c r="M379" s="238" t="s">
        <v>1183</v>
      </c>
      <c r="N379" s="127" t="s">
        <v>138</v>
      </c>
      <c r="O379" s="128" t="s">
        <v>139</v>
      </c>
      <c r="P379" s="321" t="s">
        <v>122</v>
      </c>
      <c r="Q379" s="417" t="s">
        <v>1689</v>
      </c>
      <c r="R379" s="130" t="s">
        <v>1690</v>
      </c>
      <c r="S379" s="130" t="s">
        <v>125</v>
      </c>
      <c r="T379" s="264">
        <v>40402</v>
      </c>
      <c r="U379" s="133" t="s">
        <v>303</v>
      </c>
      <c r="V379" s="134" t="s">
        <v>304</v>
      </c>
      <c r="W379" s="130" t="s">
        <v>1691</v>
      </c>
      <c r="X379" s="265">
        <v>2532180</v>
      </c>
      <c r="Y379" s="241">
        <v>2532180</v>
      </c>
      <c r="Z379" s="383">
        <f t="shared" si="34"/>
        <v>1</v>
      </c>
      <c r="AA379" s="411" t="s">
        <v>129</v>
      </c>
      <c r="AB379" s="412"/>
      <c r="AC379" s="122">
        <v>0</v>
      </c>
      <c r="AD379" s="127" t="s">
        <v>146</v>
      </c>
      <c r="AE379" s="138" t="s">
        <v>1652</v>
      </c>
      <c r="AF379" s="125" t="s">
        <v>1635</v>
      </c>
      <c r="AG379" s="413" t="s">
        <v>1636</v>
      </c>
      <c r="AH379" s="414" t="s">
        <v>132</v>
      </c>
      <c r="AJ379" s="120"/>
      <c r="AK379" s="120" t="s">
        <v>147</v>
      </c>
      <c r="AL379" s="232" t="str">
        <f>VLOOKUP(AK379,'[3]17見直し計画'!$A$50:$AJ$584,6,0)</f>
        <v>　見直し計画策定以降の新規案件</v>
      </c>
      <c r="AM379" s="140">
        <f>VLOOKUP(AK379,'[3]17見直し計画'!$A$50:$AJ$584,8,0)</f>
        <v>0</v>
      </c>
      <c r="AN379" s="180"/>
      <c r="AO379" s="141">
        <f>VLOOKUP(AK379,'[3]17見直し計画'!$A$50:$AJ$584,11,0)</f>
        <v>0</v>
      </c>
      <c r="AP379" s="140">
        <f>VLOOKUP(AK379,'[3]17見直し計画'!$A$50:$AJ$584,12,0)</f>
        <v>0</v>
      </c>
      <c r="AQ379" s="140">
        <f>VLOOKUP(AK379,'[3]17見直し計画'!$A$50:$AJ$584,13,0)</f>
        <v>0</v>
      </c>
      <c r="AR379" s="140">
        <f>VLOOKUP(AK379,'[3]17見直し計画'!$A$50:$AJ$584,14,0)</f>
        <v>0</v>
      </c>
      <c r="AS379" s="140"/>
      <c r="AT379" s="140">
        <f>VLOOKUP(AK379,'[3]17見直し計画'!$A$50:$AJ$584,35,0)</f>
        <v>0</v>
      </c>
      <c r="AU379" s="140">
        <f>VLOOKUP(AK379,'[3]17見直し計画'!$A$50:$AJ$584,36,0)</f>
        <v>0</v>
      </c>
    </row>
    <row r="380" spans="1:47" ht="105" hidden="1" customHeight="1">
      <c r="B380" s="126" t="s">
        <v>134</v>
      </c>
      <c r="C380" s="120" t="s">
        <v>135</v>
      </c>
      <c r="D380" s="120" t="s">
        <v>136</v>
      </c>
      <c r="E380">
        <f t="shared" si="33"/>
        <v>294</v>
      </c>
      <c r="F380" s="122">
        <f t="shared" si="35"/>
        <v>11</v>
      </c>
      <c r="G380" s="123">
        <v>11</v>
      </c>
      <c r="H380" s="238">
        <v>2200806</v>
      </c>
      <c r="I380" s="238">
        <v>1</v>
      </c>
      <c r="J380" s="238" t="s">
        <v>1692</v>
      </c>
      <c r="K380" s="238" t="s">
        <v>195</v>
      </c>
      <c r="L380" s="239" t="s">
        <v>1182</v>
      </c>
      <c r="M380" s="238" t="s">
        <v>1183</v>
      </c>
      <c r="N380" s="127" t="s">
        <v>138</v>
      </c>
      <c r="O380" s="128" t="s">
        <v>139</v>
      </c>
      <c r="P380" s="321" t="s">
        <v>122</v>
      </c>
      <c r="Q380" s="417" t="s">
        <v>1693</v>
      </c>
      <c r="R380" s="130" t="s">
        <v>1694</v>
      </c>
      <c r="S380" s="130" t="s">
        <v>125</v>
      </c>
      <c r="T380" s="264">
        <v>40403</v>
      </c>
      <c r="U380" s="133" t="s">
        <v>303</v>
      </c>
      <c r="V380" s="134" t="s">
        <v>304</v>
      </c>
      <c r="W380" s="130" t="s">
        <v>1695</v>
      </c>
      <c r="X380" s="265">
        <v>1189650</v>
      </c>
      <c r="Y380" s="241">
        <v>1189650</v>
      </c>
      <c r="Z380" s="383">
        <f t="shared" si="34"/>
        <v>1</v>
      </c>
      <c r="AA380" s="411" t="s">
        <v>129</v>
      </c>
      <c r="AB380" s="412"/>
      <c r="AC380" s="122">
        <v>0</v>
      </c>
      <c r="AD380" s="127" t="s">
        <v>146</v>
      </c>
      <c r="AE380" s="138" t="s">
        <v>1652</v>
      </c>
      <c r="AF380" s="125" t="s">
        <v>1635</v>
      </c>
      <c r="AG380" s="413" t="s">
        <v>1636</v>
      </c>
      <c r="AH380" s="414" t="s">
        <v>132</v>
      </c>
      <c r="AJ380" s="120"/>
      <c r="AK380" s="120" t="s">
        <v>147</v>
      </c>
      <c r="AL380" s="232" t="str">
        <f>VLOOKUP(AK380,'[3]17見直し計画'!$A$50:$AJ$584,6,0)</f>
        <v>　見直し計画策定以降の新規案件</v>
      </c>
      <c r="AM380" s="140">
        <f>VLOOKUP(AK380,'[3]17見直し計画'!$A$50:$AJ$584,8,0)</f>
        <v>0</v>
      </c>
      <c r="AN380" s="180"/>
      <c r="AO380" s="141">
        <f>VLOOKUP(AK380,'[3]17見直し計画'!$A$50:$AJ$584,11,0)</f>
        <v>0</v>
      </c>
      <c r="AP380" s="140">
        <f>VLOOKUP(AK380,'[3]17見直し計画'!$A$50:$AJ$584,12,0)</f>
        <v>0</v>
      </c>
      <c r="AQ380" s="140">
        <f>VLOOKUP(AK380,'[3]17見直し計画'!$A$50:$AJ$584,13,0)</f>
        <v>0</v>
      </c>
      <c r="AR380" s="140">
        <f>VLOOKUP(AK380,'[3]17見直し計画'!$A$50:$AJ$584,14,0)</f>
        <v>0</v>
      </c>
      <c r="AS380" s="140"/>
      <c r="AT380" s="140">
        <f>VLOOKUP(AK380,'[3]17見直し計画'!$A$50:$AJ$584,35,0)</f>
        <v>0</v>
      </c>
      <c r="AU380" s="140">
        <f>VLOOKUP(AK380,'[3]17見直し計画'!$A$50:$AJ$584,36,0)</f>
        <v>0</v>
      </c>
    </row>
    <row r="381" spans="1:47" ht="105" hidden="1" customHeight="1">
      <c r="B381" s="126" t="s">
        <v>218</v>
      </c>
      <c r="C381" s="120" t="s">
        <v>135</v>
      </c>
      <c r="D381" s="120" t="s">
        <v>136</v>
      </c>
      <c r="E381">
        <f t="shared" si="33"/>
        <v>295</v>
      </c>
      <c r="F381" s="122">
        <f t="shared" si="35"/>
        <v>12</v>
      </c>
      <c r="G381" s="123">
        <v>12</v>
      </c>
      <c r="H381" s="238">
        <v>2200809</v>
      </c>
      <c r="I381" s="238">
        <v>1</v>
      </c>
      <c r="J381" s="238" t="s">
        <v>1696</v>
      </c>
      <c r="K381" s="238" t="s">
        <v>1697</v>
      </c>
      <c r="L381" s="239" t="s">
        <v>1190</v>
      </c>
      <c r="M381" s="238" t="s">
        <v>1191</v>
      </c>
      <c r="N381" s="127" t="s">
        <v>138</v>
      </c>
      <c r="O381" s="128" t="s">
        <v>139</v>
      </c>
      <c r="P381" s="321" t="s">
        <v>122</v>
      </c>
      <c r="Q381" s="417" t="s">
        <v>1698</v>
      </c>
      <c r="R381" s="130" t="s">
        <v>1699</v>
      </c>
      <c r="S381" s="130" t="s">
        <v>125</v>
      </c>
      <c r="T381" s="264">
        <v>40403</v>
      </c>
      <c r="U381" s="133" t="s">
        <v>1700</v>
      </c>
      <c r="V381" s="134" t="s">
        <v>1701</v>
      </c>
      <c r="W381" s="130" t="s">
        <v>1702</v>
      </c>
      <c r="X381" s="265">
        <v>1088700</v>
      </c>
      <c r="Y381" s="241">
        <v>1063700</v>
      </c>
      <c r="Z381" s="383">
        <f t="shared" si="34"/>
        <v>0.97699999999999998</v>
      </c>
      <c r="AA381" s="411" t="s">
        <v>129</v>
      </c>
      <c r="AB381" s="412"/>
      <c r="AC381" s="122">
        <v>0</v>
      </c>
      <c r="AD381" s="127" t="s">
        <v>146</v>
      </c>
      <c r="AE381" s="138" t="s">
        <v>1652</v>
      </c>
      <c r="AF381" s="125" t="s">
        <v>1635</v>
      </c>
      <c r="AG381" s="413" t="s">
        <v>1636</v>
      </c>
      <c r="AH381" s="414" t="s">
        <v>132</v>
      </c>
      <c r="AJ381" s="120"/>
      <c r="AK381" s="120" t="s">
        <v>147</v>
      </c>
      <c r="AL381" s="232" t="str">
        <f>VLOOKUP(AK381,'[3]17見直し計画'!$A$50:$AJ$584,6,0)</f>
        <v>　見直し計画策定以降の新規案件</v>
      </c>
      <c r="AM381" s="140">
        <f>VLOOKUP(AK381,'[3]17見直し計画'!$A$50:$AJ$584,8,0)</f>
        <v>0</v>
      </c>
      <c r="AN381" s="180"/>
      <c r="AO381" s="141">
        <f>VLOOKUP(AK381,'[3]17見直し計画'!$A$50:$AJ$584,11,0)</f>
        <v>0</v>
      </c>
      <c r="AP381" s="140">
        <f>VLOOKUP(AK381,'[3]17見直し計画'!$A$50:$AJ$584,12,0)</f>
        <v>0</v>
      </c>
      <c r="AQ381" s="140">
        <f>VLOOKUP(AK381,'[3]17見直し計画'!$A$50:$AJ$584,13,0)</f>
        <v>0</v>
      </c>
      <c r="AR381" s="140">
        <f>VLOOKUP(AK381,'[3]17見直し計画'!$A$50:$AJ$584,14,0)</f>
        <v>0</v>
      </c>
      <c r="AS381" s="140"/>
      <c r="AT381" s="140">
        <f>VLOOKUP(AK381,'[3]17見直し計画'!$A$50:$AJ$584,35,0)</f>
        <v>0</v>
      </c>
      <c r="AU381" s="140">
        <f>VLOOKUP(AK381,'[3]17見直し計画'!$A$50:$AJ$584,36,0)</f>
        <v>0</v>
      </c>
    </row>
    <row r="382" spans="1:47" ht="105" hidden="1" customHeight="1">
      <c r="A382" t="s">
        <v>148</v>
      </c>
      <c r="B382" s="291" t="s">
        <v>218</v>
      </c>
      <c r="C382" s="178" t="s">
        <v>135</v>
      </c>
      <c r="D382" s="178" t="s">
        <v>136</v>
      </c>
      <c r="E382">
        <f t="shared" si="33"/>
        <v>296</v>
      </c>
      <c r="F382" s="122">
        <f t="shared" si="35"/>
        <v>13</v>
      </c>
      <c r="G382" s="123">
        <v>13</v>
      </c>
      <c r="H382" s="238">
        <v>2200936</v>
      </c>
      <c r="I382" s="238">
        <v>1</v>
      </c>
      <c r="J382" s="238" t="s">
        <v>1703</v>
      </c>
      <c r="K382" s="238" t="s">
        <v>501</v>
      </c>
      <c r="L382" s="239" t="s">
        <v>1654</v>
      </c>
      <c r="M382" s="238" t="s">
        <v>1461</v>
      </c>
      <c r="N382" s="127" t="s">
        <v>138</v>
      </c>
      <c r="O382" s="128" t="s">
        <v>139</v>
      </c>
      <c r="P382" s="321" t="s">
        <v>122</v>
      </c>
      <c r="Q382" s="417" t="s">
        <v>1704</v>
      </c>
      <c r="R382" s="130" t="s">
        <v>1705</v>
      </c>
      <c r="S382" s="130" t="s">
        <v>125</v>
      </c>
      <c r="T382" s="264">
        <v>40406</v>
      </c>
      <c r="U382" s="133" t="s">
        <v>1669</v>
      </c>
      <c r="V382" s="134" t="s">
        <v>449</v>
      </c>
      <c r="W382" s="130" t="s">
        <v>1706</v>
      </c>
      <c r="X382" s="265">
        <v>1550587</v>
      </c>
      <c r="Y382" s="421">
        <v>697764</v>
      </c>
      <c r="Z382" s="383">
        <f t="shared" si="34"/>
        <v>0.44900000000000001</v>
      </c>
      <c r="AA382" s="418" t="s">
        <v>129</v>
      </c>
      <c r="AB382" s="412"/>
      <c r="AC382" s="122">
        <v>0</v>
      </c>
      <c r="AD382" s="127" t="s">
        <v>146</v>
      </c>
      <c r="AE382" s="138" t="s">
        <v>1652</v>
      </c>
      <c r="AF382" s="125" t="s">
        <v>1635</v>
      </c>
      <c r="AG382" s="413" t="s">
        <v>1636</v>
      </c>
      <c r="AH382" s="414" t="s">
        <v>132</v>
      </c>
      <c r="AJ382" s="120"/>
      <c r="AK382" s="120" t="s">
        <v>147</v>
      </c>
      <c r="AL382" s="232" t="str">
        <f>VLOOKUP(AK382,'[3]17見直し計画'!$A$50:$AJ$584,6,0)</f>
        <v>　見直し計画策定以降の新規案件</v>
      </c>
      <c r="AM382" s="140">
        <f>VLOOKUP(AK382,'[3]17見直し計画'!$A$50:$AJ$584,8,0)</f>
        <v>0</v>
      </c>
      <c r="AN382" s="180"/>
      <c r="AO382" s="141">
        <f>VLOOKUP(AK382,'[3]17見直し計画'!$A$50:$AJ$584,11,0)</f>
        <v>0</v>
      </c>
      <c r="AP382" s="140">
        <f>VLOOKUP(AK382,'[3]17見直し計画'!$A$50:$AJ$584,12,0)</f>
        <v>0</v>
      </c>
      <c r="AQ382" s="140">
        <f>VLOOKUP(AK382,'[3]17見直し計画'!$A$50:$AJ$584,13,0)</f>
        <v>0</v>
      </c>
      <c r="AR382" s="140">
        <f>VLOOKUP(AK382,'[3]17見直し計画'!$A$50:$AJ$584,14,0)</f>
        <v>0</v>
      </c>
      <c r="AS382" s="140"/>
      <c r="AT382" s="140">
        <f>VLOOKUP(AK382,'[3]17見直し計画'!$A$50:$AJ$584,35,0)</f>
        <v>0</v>
      </c>
      <c r="AU382" s="140">
        <f>VLOOKUP(AK382,'[3]17見直し計画'!$A$50:$AJ$584,36,0)</f>
        <v>0</v>
      </c>
    </row>
    <row r="383" spans="1:47" ht="105" hidden="1" customHeight="1">
      <c r="B383" s="126" t="s">
        <v>1644</v>
      </c>
      <c r="C383" s="120" t="s">
        <v>135</v>
      </c>
      <c r="D383" s="120" t="s">
        <v>136</v>
      </c>
      <c r="E383">
        <f t="shared" si="33"/>
        <v>297</v>
      </c>
      <c r="F383" s="122">
        <f t="shared" si="35"/>
        <v>14</v>
      </c>
      <c r="G383" s="123">
        <v>14</v>
      </c>
      <c r="H383" s="238">
        <v>2200817</v>
      </c>
      <c r="I383" s="238">
        <v>1</v>
      </c>
      <c r="J383" s="238" t="s">
        <v>1707</v>
      </c>
      <c r="K383" s="238" t="s">
        <v>1269</v>
      </c>
      <c r="L383" s="239" t="s">
        <v>1190</v>
      </c>
      <c r="M383" s="238" t="s">
        <v>1191</v>
      </c>
      <c r="N383" s="127" t="s">
        <v>138</v>
      </c>
      <c r="O383" s="128" t="s">
        <v>139</v>
      </c>
      <c r="P383" s="321" t="s">
        <v>122</v>
      </c>
      <c r="Q383" s="417" t="s">
        <v>1708</v>
      </c>
      <c r="R383" s="130" t="s">
        <v>1709</v>
      </c>
      <c r="S383" s="130" t="s">
        <v>125</v>
      </c>
      <c r="T383" s="264">
        <v>40406</v>
      </c>
      <c r="U383" s="133" t="s">
        <v>1710</v>
      </c>
      <c r="V383" s="134" t="s">
        <v>1586</v>
      </c>
      <c r="W383" s="130" t="s">
        <v>1702</v>
      </c>
      <c r="X383" s="265">
        <v>1462846</v>
      </c>
      <c r="Y383" s="241">
        <v>1318846</v>
      </c>
      <c r="Z383" s="383">
        <f t="shared" si="34"/>
        <v>0.90100000000000002</v>
      </c>
      <c r="AA383" s="411" t="s">
        <v>129</v>
      </c>
      <c r="AB383" s="412"/>
      <c r="AC383" s="122">
        <v>0</v>
      </c>
      <c r="AD383" s="127" t="s">
        <v>146</v>
      </c>
      <c r="AE383" s="138" t="s">
        <v>1652</v>
      </c>
      <c r="AF383" s="125" t="s">
        <v>1635</v>
      </c>
      <c r="AG383" s="413" t="s">
        <v>1636</v>
      </c>
      <c r="AH383" s="414" t="s">
        <v>132</v>
      </c>
      <c r="AJ383" s="120"/>
      <c r="AK383" s="120" t="s">
        <v>147</v>
      </c>
      <c r="AL383" s="232" t="str">
        <f>VLOOKUP(AK383,'[3]17見直し計画'!$A$50:$AJ$584,6,0)</f>
        <v>　見直し計画策定以降の新規案件</v>
      </c>
      <c r="AM383" s="140">
        <f>VLOOKUP(AK383,'[3]17見直し計画'!$A$50:$AJ$584,8,0)</f>
        <v>0</v>
      </c>
      <c r="AN383" s="180"/>
      <c r="AO383" s="141">
        <f>VLOOKUP(AK383,'[3]17見直し計画'!$A$50:$AJ$584,11,0)</f>
        <v>0</v>
      </c>
      <c r="AP383" s="140">
        <f>VLOOKUP(AK383,'[3]17見直し計画'!$A$50:$AJ$584,12,0)</f>
        <v>0</v>
      </c>
      <c r="AQ383" s="140">
        <f>VLOOKUP(AK383,'[3]17見直し計画'!$A$50:$AJ$584,13,0)</f>
        <v>0</v>
      </c>
      <c r="AR383" s="140">
        <f>VLOOKUP(AK383,'[3]17見直し計画'!$A$50:$AJ$584,14,0)</f>
        <v>0</v>
      </c>
      <c r="AS383" s="140"/>
      <c r="AT383" s="140">
        <f>VLOOKUP(AK383,'[3]17見直し計画'!$A$50:$AJ$584,35,0)</f>
        <v>0</v>
      </c>
      <c r="AU383" s="140">
        <f>VLOOKUP(AK383,'[3]17見直し計画'!$A$50:$AJ$584,36,0)</f>
        <v>0</v>
      </c>
    </row>
    <row r="384" spans="1:47" ht="105" hidden="1" customHeight="1">
      <c r="B384" s="182"/>
      <c r="C384" s="182"/>
      <c r="D384" s="223" t="s">
        <v>421</v>
      </c>
      <c r="E384">
        <f t="shared" si="33"/>
        <v>298</v>
      </c>
      <c r="F384" s="185">
        <f t="shared" si="35"/>
        <v>15</v>
      </c>
      <c r="G384" s="186">
        <v>15</v>
      </c>
      <c r="H384" s="188">
        <v>2200824</v>
      </c>
      <c r="I384" s="188">
        <v>1</v>
      </c>
      <c r="J384" s="201" t="s">
        <v>1711</v>
      </c>
      <c r="K384" s="188" t="s">
        <v>1712</v>
      </c>
      <c r="L384" s="201" t="s">
        <v>1163</v>
      </c>
      <c r="M384" s="188" t="s">
        <v>1713</v>
      </c>
      <c r="N384" s="190" t="s">
        <v>230</v>
      </c>
      <c r="O384" s="191" t="s">
        <v>139</v>
      </c>
      <c r="P384" s="328" t="s">
        <v>231</v>
      </c>
      <c r="Q384" s="404" t="s">
        <v>1714</v>
      </c>
      <c r="R384" s="193" t="s">
        <v>1715</v>
      </c>
      <c r="S384" s="193" t="s">
        <v>125</v>
      </c>
      <c r="T384" s="274">
        <v>40407</v>
      </c>
      <c r="U384" s="196" t="s">
        <v>1716</v>
      </c>
      <c r="V384" s="197" t="s">
        <v>1717</v>
      </c>
      <c r="W384" s="193" t="s">
        <v>1643</v>
      </c>
      <c r="X384" s="275">
        <v>156891000</v>
      </c>
      <c r="Y384" s="331">
        <v>156411273</v>
      </c>
      <c r="Z384" s="367">
        <f t="shared" si="34"/>
        <v>0.996</v>
      </c>
      <c r="AA384" s="405" t="s">
        <v>129</v>
      </c>
      <c r="AB384" s="406" t="s">
        <v>1718</v>
      </c>
      <c r="AC384" s="185">
        <v>1</v>
      </c>
      <c r="AD384" s="190" t="s">
        <v>631</v>
      </c>
      <c r="AE384" s="201"/>
      <c r="AF384" s="188"/>
      <c r="AG384" s="407" t="s">
        <v>1636</v>
      </c>
      <c r="AH384" s="408" t="s">
        <v>171</v>
      </c>
      <c r="AI384" s="184"/>
      <c r="AJ384" s="182"/>
      <c r="AK384" s="182" t="s">
        <v>147</v>
      </c>
      <c r="AL384" s="231" t="str">
        <f>VLOOKUP(AK384,'[3]17見直し計画'!$A$50:$AJ$584,6,0)</f>
        <v>　見直し計画策定以降の新規案件</v>
      </c>
      <c r="AM384" s="204">
        <f>VLOOKUP(AK384,'[3]17見直し計画'!$A$50:$AJ$584,8,0)</f>
        <v>0</v>
      </c>
      <c r="AN384" s="224"/>
      <c r="AO384" s="205">
        <f>VLOOKUP(AK384,'[3]17見直し計画'!$A$50:$AJ$584,11,0)</f>
        <v>0</v>
      </c>
      <c r="AP384" s="204">
        <f>VLOOKUP(AK384,'[3]17見直し計画'!$A$50:$AJ$584,12,0)</f>
        <v>0</v>
      </c>
      <c r="AQ384" s="204">
        <f>VLOOKUP(AK384,'[3]17見直し計画'!$A$50:$AJ$584,13,0)</f>
        <v>0</v>
      </c>
      <c r="AR384" s="204">
        <f>VLOOKUP(AK384,'[3]17見直し計画'!$A$50:$AJ$584,14,0)</f>
        <v>0</v>
      </c>
      <c r="AS384" s="204"/>
      <c r="AT384" s="204">
        <f>VLOOKUP(AK384,'[3]17見直し計画'!$A$50:$AJ$584,35,0)</f>
        <v>0</v>
      </c>
      <c r="AU384" s="204">
        <f>VLOOKUP(AK384,'[3]17見直し計画'!$A$50:$AJ$584,36,0)</f>
        <v>0</v>
      </c>
    </row>
    <row r="385" spans="1:47" ht="105" customHeight="1">
      <c r="B385" s="143" t="s">
        <v>476</v>
      </c>
      <c r="C385" s="143" t="s">
        <v>550</v>
      </c>
      <c r="D385" s="143" t="s">
        <v>351</v>
      </c>
      <c r="E385">
        <f t="shared" si="33"/>
        <v>299</v>
      </c>
      <c r="F385" s="122">
        <f t="shared" si="35"/>
        <v>16</v>
      </c>
      <c r="G385" s="123">
        <v>16</v>
      </c>
      <c r="H385" s="238">
        <v>2200816</v>
      </c>
      <c r="I385" s="238">
        <v>1</v>
      </c>
      <c r="J385" s="238" t="s">
        <v>1719</v>
      </c>
      <c r="K385" s="238" t="s">
        <v>1162</v>
      </c>
      <c r="L385" s="239" t="s">
        <v>1163</v>
      </c>
      <c r="M385" s="238" t="s">
        <v>1175</v>
      </c>
      <c r="N385" s="127" t="s">
        <v>138</v>
      </c>
      <c r="O385" s="128" t="s">
        <v>139</v>
      </c>
      <c r="P385" s="321" t="s">
        <v>122</v>
      </c>
      <c r="Q385" s="417" t="s">
        <v>1720</v>
      </c>
      <c r="R385" s="130" t="s">
        <v>1721</v>
      </c>
      <c r="S385" s="130" t="s">
        <v>125</v>
      </c>
      <c r="T385" s="264">
        <v>40408</v>
      </c>
      <c r="U385" s="133" t="s">
        <v>1477</v>
      </c>
      <c r="V385" s="134" t="s">
        <v>1172</v>
      </c>
      <c r="W385" s="130" t="s">
        <v>1722</v>
      </c>
      <c r="X385" s="265">
        <v>6814460</v>
      </c>
      <c r="Y385" s="241">
        <v>6814460</v>
      </c>
      <c r="Z385" s="383">
        <f t="shared" si="34"/>
        <v>1</v>
      </c>
      <c r="AA385" s="411" t="s">
        <v>129</v>
      </c>
      <c r="AB385" s="412"/>
      <c r="AC385" s="122">
        <v>0</v>
      </c>
      <c r="AD385" s="127" t="s">
        <v>146</v>
      </c>
      <c r="AE385" s="138" t="s">
        <v>1652</v>
      </c>
      <c r="AF385" s="125" t="s">
        <v>1635</v>
      </c>
      <c r="AG385" s="413" t="s">
        <v>1636</v>
      </c>
      <c r="AH385" s="414" t="s">
        <v>132</v>
      </c>
      <c r="AJ385" s="120"/>
      <c r="AK385" s="120" t="s">
        <v>1174</v>
      </c>
      <c r="AL385" s="232" t="str">
        <f>VLOOKUP(AK385,'[3]17見直し計画'!$A$50:$AJ$584,6,0)</f>
        <v>根室市役所（根室市長　藤原　弘）</v>
      </c>
      <c r="AM385" s="140" t="str">
        <f>VLOOKUP(AK385,'[3]17見直し計画'!$A$50:$AJ$584,8,0)</f>
        <v>北方四島住民支援（平成１７年度患者受入事業：第１回目）について</v>
      </c>
      <c r="AN385" s="180">
        <f>VLOOKUP(AK385,'[3]17見直し計画'!$A$50:$AJ$584,10,0)</f>
        <v>38520</v>
      </c>
      <c r="AO385" s="141">
        <f>VLOOKUP(AK385,'[3]17見直し計画'!$A$50:$AJ$584,11,0)</f>
        <v>3098667</v>
      </c>
      <c r="AP385" s="140" t="str">
        <f>VLOOKUP(AK385,'[3]17見直し計画'!$A$50:$AJ$584,12,0)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385" s="140" t="str">
        <f>VLOOKUP(AK385,'[3]17見直し計画'!$A$50:$AJ$584,13,0)</f>
        <v>その他のもの</v>
      </c>
      <c r="AR385" s="140" t="str">
        <f>VLOOKUP(AK385,'[3]17見直し計画'!$A$50:$AJ$584,14,0)</f>
        <v>随意契約によらざるを得ないもの</v>
      </c>
      <c r="AS385" s="140"/>
      <c r="AT385" s="140" t="str">
        <f>VLOOKUP(AK385,'[3]17見直し計画'!$A$50:$AJ$584,35,0)</f>
        <v>場所が限定される賃貸借その他業務</v>
      </c>
      <c r="AU385" s="140" t="str">
        <f>VLOOKUP(AK385,'[3]17見直し計画'!$A$50:$AJ$584,36,0)</f>
        <v>ロ</v>
      </c>
    </row>
    <row r="386" spans="1:47" ht="105" hidden="1" customHeight="1">
      <c r="B386" s="126" t="s">
        <v>218</v>
      </c>
      <c r="C386" s="120" t="s">
        <v>135</v>
      </c>
      <c r="D386" s="120" t="s">
        <v>136</v>
      </c>
      <c r="E386">
        <f>SUM(E385+1)</f>
        <v>300</v>
      </c>
      <c r="F386" s="122">
        <f>IF(G386&gt;0,F385+1,"")</f>
        <v>17</v>
      </c>
      <c r="G386" s="123">
        <v>17</v>
      </c>
      <c r="H386" s="238">
        <v>2200860</v>
      </c>
      <c r="I386" s="238">
        <v>1</v>
      </c>
      <c r="J386" s="238"/>
      <c r="K386" s="238" t="s">
        <v>207</v>
      </c>
      <c r="L386" s="239" t="s">
        <v>1147</v>
      </c>
      <c r="M386" s="238" t="s">
        <v>1723</v>
      </c>
      <c r="N386" s="127" t="s">
        <v>138</v>
      </c>
      <c r="O386" s="128" t="s">
        <v>139</v>
      </c>
      <c r="P386" s="321" t="s">
        <v>122</v>
      </c>
      <c r="Q386" s="417" t="s">
        <v>1724</v>
      </c>
      <c r="R386" s="130" t="s">
        <v>1725</v>
      </c>
      <c r="S386" s="130" t="s">
        <v>125</v>
      </c>
      <c r="T386" s="264">
        <v>40409</v>
      </c>
      <c r="U386" s="133" t="s">
        <v>1726</v>
      </c>
      <c r="V386" s="134" t="s">
        <v>1727</v>
      </c>
      <c r="W386" s="130" t="s">
        <v>1728</v>
      </c>
      <c r="X386" s="265">
        <v>1273200</v>
      </c>
      <c r="Y386" s="241">
        <v>1273200</v>
      </c>
      <c r="Z386" s="383">
        <f t="shared" si="34"/>
        <v>1</v>
      </c>
      <c r="AA386" s="418" t="s">
        <v>129</v>
      </c>
      <c r="AB386" s="412"/>
      <c r="AC386" s="122">
        <v>0</v>
      </c>
      <c r="AD386" s="127" t="s">
        <v>146</v>
      </c>
      <c r="AE386" s="138" t="s">
        <v>1652</v>
      </c>
      <c r="AF386" s="125" t="s">
        <v>1635</v>
      </c>
      <c r="AG386" s="413" t="s">
        <v>1636</v>
      </c>
      <c r="AH386" s="414" t="s">
        <v>132</v>
      </c>
      <c r="AJ386" s="120"/>
      <c r="AK386" s="120" t="s">
        <v>147</v>
      </c>
      <c r="AL386" s="232" t="str">
        <f>VLOOKUP(AK386,'[3]17見直し計画'!$A$50:$AJ$584,6,0)</f>
        <v>　見直し計画策定以降の新規案件</v>
      </c>
      <c r="AM386" s="140">
        <f>VLOOKUP(AK386,'[3]17見直し計画'!$A$50:$AJ$584,8,0)</f>
        <v>0</v>
      </c>
      <c r="AN386" s="180"/>
      <c r="AO386" s="141">
        <f>VLOOKUP(AK386,'[3]17見直し計画'!$A$50:$AJ$584,11,0)</f>
        <v>0</v>
      </c>
      <c r="AP386" s="140">
        <f>VLOOKUP(AK386,'[3]17見直し計画'!$A$50:$AJ$584,12,0)</f>
        <v>0</v>
      </c>
      <c r="AQ386" s="140">
        <f>VLOOKUP(AK386,'[3]17見直し計画'!$A$50:$AJ$584,13,0)</f>
        <v>0</v>
      </c>
      <c r="AR386" s="140">
        <f>VLOOKUP(AK386,'[3]17見直し計画'!$A$50:$AJ$584,14,0)</f>
        <v>0</v>
      </c>
      <c r="AS386" s="140"/>
      <c r="AT386" s="140">
        <f>VLOOKUP(AK386,'[3]17見直し計画'!$A$50:$AJ$584,35,0)</f>
        <v>0</v>
      </c>
      <c r="AU386" s="140">
        <f>VLOOKUP(AK386,'[3]17見直し計画'!$A$50:$AJ$584,36,0)</f>
        <v>0</v>
      </c>
    </row>
    <row r="387" spans="1:47" ht="105" hidden="1" customHeight="1">
      <c r="B387" s="182"/>
      <c r="C387" s="182"/>
      <c r="D387" s="223" t="s">
        <v>421</v>
      </c>
      <c r="E387">
        <f t="shared" si="33"/>
        <v>301</v>
      </c>
      <c r="F387" s="185">
        <f t="shared" si="35"/>
        <v>18</v>
      </c>
      <c r="G387" s="186">
        <v>18</v>
      </c>
      <c r="H387" s="188">
        <v>2200726</v>
      </c>
      <c r="I387" s="188">
        <v>1</v>
      </c>
      <c r="J387" s="188" t="s">
        <v>1729</v>
      </c>
      <c r="K387" s="188" t="s">
        <v>1510</v>
      </c>
      <c r="L387" s="201" t="s">
        <v>1190</v>
      </c>
      <c r="M387" s="188" t="s">
        <v>1191</v>
      </c>
      <c r="N387" s="190" t="s">
        <v>230</v>
      </c>
      <c r="O387" s="191" t="s">
        <v>139</v>
      </c>
      <c r="P387" s="328" t="s">
        <v>231</v>
      </c>
      <c r="Q387" s="404" t="s">
        <v>1730</v>
      </c>
      <c r="R387" s="193" t="s">
        <v>1731</v>
      </c>
      <c r="S387" s="193" t="s">
        <v>125</v>
      </c>
      <c r="T387" s="274">
        <v>40410</v>
      </c>
      <c r="U387" s="196" t="s">
        <v>1732</v>
      </c>
      <c r="V387" s="197" t="s">
        <v>1733</v>
      </c>
      <c r="W387" s="193" t="s">
        <v>1734</v>
      </c>
      <c r="X387" s="275">
        <v>20900000</v>
      </c>
      <c r="Y387" s="331">
        <v>20881552</v>
      </c>
      <c r="Z387" s="367">
        <f t="shared" si="34"/>
        <v>0.999</v>
      </c>
      <c r="AA387" s="405" t="s">
        <v>129</v>
      </c>
      <c r="AB387" s="406"/>
      <c r="AC387" s="185">
        <v>1</v>
      </c>
      <c r="AD387" s="190" t="s">
        <v>631</v>
      </c>
      <c r="AE387" s="201" t="s">
        <v>1634</v>
      </c>
      <c r="AF387" s="188" t="s">
        <v>1635</v>
      </c>
      <c r="AG387" s="407" t="s">
        <v>1636</v>
      </c>
      <c r="AH387" s="408" t="s">
        <v>171</v>
      </c>
      <c r="AI387" s="184"/>
      <c r="AJ387" s="182"/>
      <c r="AK387" s="182" t="s">
        <v>147</v>
      </c>
      <c r="AL387" s="231" t="str">
        <f>VLOOKUP(AK387,'[3]17見直し計画'!$A$50:$AJ$584,6,0)</f>
        <v>　見直し計画策定以降の新規案件</v>
      </c>
      <c r="AM387" s="204">
        <f>VLOOKUP(AK387,'[3]17見直し計画'!$A$50:$AJ$584,8,0)</f>
        <v>0</v>
      </c>
      <c r="AN387" s="224"/>
      <c r="AO387" s="205">
        <f>VLOOKUP(AK387,'[3]17見直し計画'!$A$50:$AJ$584,11,0)</f>
        <v>0</v>
      </c>
      <c r="AP387" s="204">
        <f>VLOOKUP(AK387,'[3]17見直し計画'!$A$50:$AJ$584,12,0)</f>
        <v>0</v>
      </c>
      <c r="AQ387" s="204">
        <f>VLOOKUP(AK387,'[3]17見直し計画'!$A$50:$AJ$584,13,0)</f>
        <v>0</v>
      </c>
      <c r="AR387" s="204">
        <f>VLOOKUP(AK387,'[3]17見直し計画'!$A$50:$AJ$584,14,0)</f>
        <v>0</v>
      </c>
      <c r="AS387" s="204"/>
      <c r="AT387" s="204">
        <f>VLOOKUP(AK387,'[3]17見直し計画'!$A$50:$AJ$584,35,0)</f>
        <v>0</v>
      </c>
      <c r="AU387" s="204">
        <f>VLOOKUP(AK387,'[3]17見直し計画'!$A$50:$AJ$584,36,0)</f>
        <v>0</v>
      </c>
    </row>
    <row r="388" spans="1:47" ht="105" hidden="1" customHeight="1">
      <c r="B388" s="182"/>
      <c r="C388" s="182"/>
      <c r="D388" s="223" t="s">
        <v>1124</v>
      </c>
      <c r="E388">
        <f t="shared" si="33"/>
        <v>302</v>
      </c>
      <c r="F388" s="185">
        <f t="shared" si="35"/>
        <v>19</v>
      </c>
      <c r="G388" s="186">
        <v>19</v>
      </c>
      <c r="H388" s="188">
        <v>2200746</v>
      </c>
      <c r="I388" s="188">
        <v>1</v>
      </c>
      <c r="J388" s="188" t="s">
        <v>1735</v>
      </c>
      <c r="K388" s="188" t="s">
        <v>842</v>
      </c>
      <c r="L388" s="201" t="s">
        <v>1163</v>
      </c>
      <c r="M388" s="188" t="s">
        <v>1175</v>
      </c>
      <c r="N388" s="190" t="s">
        <v>230</v>
      </c>
      <c r="O388" s="191" t="s">
        <v>139</v>
      </c>
      <c r="P388" s="328" t="s">
        <v>231</v>
      </c>
      <c r="Q388" s="404" t="s">
        <v>1736</v>
      </c>
      <c r="R388" s="193" t="s">
        <v>1737</v>
      </c>
      <c r="S388" s="193" t="s">
        <v>125</v>
      </c>
      <c r="T388" s="274">
        <v>40413</v>
      </c>
      <c r="U388" s="196" t="s">
        <v>1738</v>
      </c>
      <c r="V388" s="197" t="s">
        <v>1739</v>
      </c>
      <c r="W388" s="193" t="s">
        <v>1643</v>
      </c>
      <c r="X388" s="275">
        <v>20242000</v>
      </c>
      <c r="Y388" s="331">
        <v>19950000</v>
      </c>
      <c r="Z388" s="367">
        <f t="shared" si="34"/>
        <v>0.98499999999999999</v>
      </c>
      <c r="AA388" s="405" t="s">
        <v>129</v>
      </c>
      <c r="AB388" s="406"/>
      <c r="AC388" s="185">
        <v>10</v>
      </c>
      <c r="AD388" s="190" t="s">
        <v>237</v>
      </c>
      <c r="AE388" s="201" t="s">
        <v>1634</v>
      </c>
      <c r="AF388" s="188" t="s">
        <v>1635</v>
      </c>
      <c r="AG388" s="407" t="s">
        <v>1636</v>
      </c>
      <c r="AH388" s="408" t="s">
        <v>238</v>
      </c>
      <c r="AI388" s="184"/>
      <c r="AJ388" s="182"/>
      <c r="AK388" s="182" t="s">
        <v>1740</v>
      </c>
      <c r="AL388" s="231" t="str">
        <f>VLOOKUP(AK388,'[3]17見直し計画'!$A$50:$AJ$584,6,0)</f>
        <v>独立行政法人 国立印刷局</v>
      </c>
      <c r="AM388" s="204" t="str">
        <f>VLOOKUP(AK388,'[3]17見直し計画'!$A$50:$AJ$584,8,0)</f>
        <v>「政府開発援助（ＯＤＡ）白書２００５年版（仮称）」作成（企画招請）</v>
      </c>
      <c r="AN388" s="224" t="str">
        <f>VLOOKUP(AK388,'[3]17見直し計画'!$A$50:$AJ$584,10,0)</f>
        <v>平成17/05/13</v>
      </c>
      <c r="AO388" s="205">
        <f>VLOOKUP(AK388,'[3]17見直し計画'!$A$50:$AJ$584,11,0)</f>
        <v>13500000</v>
      </c>
      <c r="AP388" s="204" t="str">
        <f>VLOOKUP(AK388,'[3]17見直し計画'!$A$50:$AJ$584,12,0)</f>
        <v>公示の上、資料提供企画招請を行い、提出された企画書審査及びヒアリングを通じて、企画内容・見積額等総合的に判断し最も優れた企画を提出した本機関に業務委嘱したもの（会計法第２９条の３第４項）。</v>
      </c>
      <c r="AQ388" s="204" t="str">
        <f>VLOOKUP(AK388,'[3]17見直し計画'!$A$50:$AJ$584,13,0)</f>
        <v>見直しの余地があるもの</v>
      </c>
      <c r="AR388" s="204" t="str">
        <f>VLOOKUP(AK388,'[3]17見直し計画'!$A$50:$AJ$584,14,0)</f>
        <v>一般競争入札等に移行したもの（企画招請実施）</v>
      </c>
      <c r="AS388" s="204"/>
      <c r="AT388" s="204">
        <f>VLOOKUP(AK388,'[3]17見直し計画'!$A$50:$AJ$584,35,0)</f>
        <v>0</v>
      </c>
      <c r="AU388" s="204">
        <f>VLOOKUP(AK388,'[3]17見直し計画'!$A$50:$AJ$584,36,0)</f>
        <v>0</v>
      </c>
    </row>
    <row r="389" spans="1:47" ht="105" hidden="1" customHeight="1">
      <c r="B389" s="182"/>
      <c r="C389" s="182"/>
      <c r="D389" s="223" t="s">
        <v>421</v>
      </c>
      <c r="E389">
        <f t="shared" si="33"/>
        <v>303</v>
      </c>
      <c r="F389" s="185">
        <f t="shared" si="35"/>
        <v>20</v>
      </c>
      <c r="G389" s="186">
        <v>20</v>
      </c>
      <c r="H389" s="188">
        <v>2200829</v>
      </c>
      <c r="I389" s="201" t="s">
        <v>1741</v>
      </c>
      <c r="J389" s="201" t="s">
        <v>1742</v>
      </c>
      <c r="K389" s="188" t="s">
        <v>1130</v>
      </c>
      <c r="L389" s="201" t="s">
        <v>1190</v>
      </c>
      <c r="M389" s="188" t="s">
        <v>1448</v>
      </c>
      <c r="N389" s="190" t="s">
        <v>911</v>
      </c>
      <c r="O389" s="191" t="s">
        <v>688</v>
      </c>
      <c r="P389" s="328" t="s">
        <v>231</v>
      </c>
      <c r="Q389" s="404" t="s">
        <v>1743</v>
      </c>
      <c r="R389" s="193" t="s">
        <v>1744</v>
      </c>
      <c r="S389" s="193" t="s">
        <v>125</v>
      </c>
      <c r="T389" s="274">
        <v>40414</v>
      </c>
      <c r="U389" s="196" t="s">
        <v>1745</v>
      </c>
      <c r="V389" s="197" t="s">
        <v>1746</v>
      </c>
      <c r="W389" s="193" t="s">
        <v>1747</v>
      </c>
      <c r="X389" s="275">
        <v>4000000</v>
      </c>
      <c r="Y389" s="331">
        <v>3996424</v>
      </c>
      <c r="Z389" s="367">
        <f t="shared" si="34"/>
        <v>0.999</v>
      </c>
      <c r="AA389" s="405" t="s">
        <v>129</v>
      </c>
      <c r="AB389" s="406"/>
      <c r="AC389" s="185">
        <v>2</v>
      </c>
      <c r="AD389" s="190" t="s">
        <v>1217</v>
      </c>
      <c r="AE389" s="201" t="s">
        <v>1634</v>
      </c>
      <c r="AF389" s="188" t="s">
        <v>1635</v>
      </c>
      <c r="AG389" s="407" t="s">
        <v>1636</v>
      </c>
      <c r="AH389" s="408" t="s">
        <v>428</v>
      </c>
      <c r="AI389" s="184"/>
      <c r="AJ389" s="182"/>
      <c r="AK389" s="182" t="s">
        <v>147</v>
      </c>
      <c r="AL389" s="231" t="str">
        <f>VLOOKUP(AK389,'[3]17見直し計画'!$A$50:$AJ$584,6,0)</f>
        <v>　見直し計画策定以降の新規案件</v>
      </c>
      <c r="AM389" s="204">
        <f>VLOOKUP(AK389,'[3]17見直し計画'!$A$50:$AJ$584,8,0)</f>
        <v>0</v>
      </c>
      <c r="AN389" s="224"/>
      <c r="AO389" s="205">
        <f>VLOOKUP(AK389,'[3]17見直し計画'!$A$50:$AJ$584,11,0)</f>
        <v>0</v>
      </c>
      <c r="AP389" s="204">
        <f>VLOOKUP(AK389,'[3]17見直し計画'!$A$50:$AJ$584,12,0)</f>
        <v>0</v>
      </c>
      <c r="AQ389" s="204">
        <f>VLOOKUP(AK389,'[3]17見直し計画'!$A$50:$AJ$584,13,0)</f>
        <v>0</v>
      </c>
      <c r="AR389" s="204">
        <f>VLOOKUP(AK389,'[3]17見直し計画'!$A$50:$AJ$584,14,0)</f>
        <v>0</v>
      </c>
      <c r="AS389" s="204"/>
      <c r="AT389" s="204">
        <f>VLOOKUP(AK389,'[3]17見直し計画'!$A$50:$AJ$584,35,0)</f>
        <v>0</v>
      </c>
      <c r="AU389" s="204">
        <f>VLOOKUP(AK389,'[3]17見直し計画'!$A$50:$AJ$584,36,0)</f>
        <v>0</v>
      </c>
    </row>
    <row r="390" spans="1:47" ht="105" hidden="1" customHeight="1">
      <c r="B390" s="182"/>
      <c r="C390" s="182"/>
      <c r="D390" s="223" t="s">
        <v>421</v>
      </c>
      <c r="E390">
        <f t="shared" si="33"/>
        <v>304</v>
      </c>
      <c r="F390" s="185">
        <f t="shared" si="35"/>
        <v>21</v>
      </c>
      <c r="G390" s="186">
        <v>21</v>
      </c>
      <c r="H390" s="188">
        <v>2200845</v>
      </c>
      <c r="I390" s="188">
        <v>1</v>
      </c>
      <c r="J390" s="188" t="s">
        <v>1748</v>
      </c>
      <c r="K390" s="188" t="s">
        <v>1162</v>
      </c>
      <c r="L390" s="201" t="s">
        <v>1163</v>
      </c>
      <c r="M390" s="188" t="s">
        <v>1175</v>
      </c>
      <c r="N390" s="190" t="s">
        <v>230</v>
      </c>
      <c r="O390" s="191" t="s">
        <v>139</v>
      </c>
      <c r="P390" s="328" t="s">
        <v>231</v>
      </c>
      <c r="Q390" s="404" t="s">
        <v>1749</v>
      </c>
      <c r="R390" s="193" t="s">
        <v>1750</v>
      </c>
      <c r="S390" s="193" t="s">
        <v>125</v>
      </c>
      <c r="T390" s="274">
        <v>40416</v>
      </c>
      <c r="U390" s="196" t="s">
        <v>1525</v>
      </c>
      <c r="V390" s="197" t="s">
        <v>1526</v>
      </c>
      <c r="W390" s="193" t="s">
        <v>1643</v>
      </c>
      <c r="X390" s="275">
        <v>13000000</v>
      </c>
      <c r="Y390" s="331">
        <v>12814523</v>
      </c>
      <c r="Z390" s="367">
        <f t="shared" si="34"/>
        <v>0.98499999999999999</v>
      </c>
      <c r="AA390" s="405" t="s">
        <v>129</v>
      </c>
      <c r="AB390" s="406"/>
      <c r="AC390" s="185">
        <v>1</v>
      </c>
      <c r="AD390" s="190" t="s">
        <v>631</v>
      </c>
      <c r="AE390" s="201" t="s">
        <v>1634</v>
      </c>
      <c r="AF390" s="188" t="s">
        <v>1635</v>
      </c>
      <c r="AG390" s="407" t="s">
        <v>1636</v>
      </c>
      <c r="AH390" s="408" t="s">
        <v>171</v>
      </c>
      <c r="AI390" s="184"/>
      <c r="AJ390" s="182"/>
      <c r="AK390" s="182" t="s">
        <v>147</v>
      </c>
      <c r="AL390" s="231" t="str">
        <f>VLOOKUP(AK390,'[3]17見直し計画'!$A$50:$AJ$584,6,0)</f>
        <v>　見直し計画策定以降の新規案件</v>
      </c>
      <c r="AM390" s="204">
        <f>VLOOKUP(AK390,'[3]17見直し計画'!$A$50:$AJ$584,8,0)</f>
        <v>0</v>
      </c>
      <c r="AN390" s="224"/>
      <c r="AO390" s="205">
        <f>VLOOKUP(AK390,'[3]17見直し計画'!$A$50:$AJ$584,11,0)</f>
        <v>0</v>
      </c>
      <c r="AP390" s="204">
        <f>VLOOKUP(AK390,'[3]17見直し計画'!$A$50:$AJ$584,12,0)</f>
        <v>0</v>
      </c>
      <c r="AQ390" s="204">
        <f>VLOOKUP(AK390,'[3]17見直し計画'!$A$50:$AJ$584,13,0)</f>
        <v>0</v>
      </c>
      <c r="AR390" s="204">
        <f>VLOOKUP(AK390,'[3]17見直し計画'!$A$50:$AJ$584,14,0)</f>
        <v>0</v>
      </c>
      <c r="AS390" s="204"/>
      <c r="AT390" s="204">
        <f>VLOOKUP(AK390,'[3]17見直し計画'!$A$50:$AJ$584,35,0)</f>
        <v>0</v>
      </c>
      <c r="AU390" s="204">
        <f>VLOOKUP(AK390,'[3]17見直し計画'!$A$50:$AJ$584,36,0)</f>
        <v>0</v>
      </c>
    </row>
    <row r="391" spans="1:47" ht="105" hidden="1" customHeight="1">
      <c r="B391" s="182"/>
      <c r="C391" s="182"/>
      <c r="D391" s="223" t="s">
        <v>421</v>
      </c>
      <c r="E391">
        <f t="shared" si="33"/>
        <v>305</v>
      </c>
      <c r="F391" s="185">
        <f t="shared" si="35"/>
        <v>22</v>
      </c>
      <c r="G391" s="186">
        <v>22</v>
      </c>
      <c r="H391" s="188">
        <v>2200847</v>
      </c>
      <c r="I391" s="188">
        <v>1</v>
      </c>
      <c r="J391" s="188" t="s">
        <v>1751</v>
      </c>
      <c r="K391" s="188" t="s">
        <v>1162</v>
      </c>
      <c r="L391" s="201" t="s">
        <v>1163</v>
      </c>
      <c r="M391" s="188" t="s">
        <v>1175</v>
      </c>
      <c r="N391" s="190" t="s">
        <v>230</v>
      </c>
      <c r="O391" s="191" t="s">
        <v>139</v>
      </c>
      <c r="P391" s="328" t="s">
        <v>231</v>
      </c>
      <c r="Q391" s="404" t="s">
        <v>1752</v>
      </c>
      <c r="R391" s="193" t="s">
        <v>1753</v>
      </c>
      <c r="S391" s="193" t="s">
        <v>125</v>
      </c>
      <c r="T391" s="274">
        <v>40416</v>
      </c>
      <c r="U391" s="196" t="s">
        <v>1525</v>
      </c>
      <c r="V391" s="197" t="s">
        <v>1526</v>
      </c>
      <c r="W391" s="193" t="s">
        <v>1643</v>
      </c>
      <c r="X391" s="275">
        <v>8000000</v>
      </c>
      <c r="Y391" s="331">
        <v>7687488</v>
      </c>
      <c r="Z391" s="367">
        <f t="shared" si="34"/>
        <v>0.96</v>
      </c>
      <c r="AA391" s="405" t="s">
        <v>129</v>
      </c>
      <c r="AB391" s="406"/>
      <c r="AC391" s="185">
        <v>1</v>
      </c>
      <c r="AD391" s="190" t="s">
        <v>631</v>
      </c>
      <c r="AE391" s="201" t="s">
        <v>1634</v>
      </c>
      <c r="AF391" s="188" t="s">
        <v>1635</v>
      </c>
      <c r="AG391" s="407" t="s">
        <v>1636</v>
      </c>
      <c r="AH391" s="408" t="s">
        <v>171</v>
      </c>
      <c r="AI391" s="184"/>
      <c r="AJ391" s="182"/>
      <c r="AK391" s="182" t="s">
        <v>147</v>
      </c>
      <c r="AL391" s="231" t="str">
        <f>VLOOKUP(AK391,'[3]17見直し計画'!$A$50:$AJ$584,6,0)</f>
        <v>　見直し計画策定以降の新規案件</v>
      </c>
      <c r="AM391" s="204">
        <f>VLOOKUP(AK391,'[3]17見直し計画'!$A$50:$AJ$584,8,0)</f>
        <v>0</v>
      </c>
      <c r="AN391" s="224"/>
      <c r="AO391" s="205">
        <f>VLOOKUP(AK391,'[3]17見直し計画'!$A$50:$AJ$584,11,0)</f>
        <v>0</v>
      </c>
      <c r="AP391" s="204">
        <f>VLOOKUP(AK391,'[3]17見直し計画'!$A$50:$AJ$584,12,0)</f>
        <v>0</v>
      </c>
      <c r="AQ391" s="204">
        <f>VLOOKUP(AK391,'[3]17見直し計画'!$A$50:$AJ$584,13,0)</f>
        <v>0</v>
      </c>
      <c r="AR391" s="204">
        <f>VLOOKUP(AK391,'[3]17見直し計画'!$A$50:$AJ$584,14,0)</f>
        <v>0</v>
      </c>
      <c r="AS391" s="204"/>
      <c r="AT391" s="204">
        <f>VLOOKUP(AK391,'[3]17見直し計画'!$A$50:$AJ$584,35,0)</f>
        <v>0</v>
      </c>
      <c r="AU391" s="204">
        <f>VLOOKUP(AK391,'[3]17見直し計画'!$A$50:$AJ$584,36,0)</f>
        <v>0</v>
      </c>
    </row>
    <row r="392" spans="1:47" ht="105" hidden="1" customHeight="1">
      <c r="B392" s="182"/>
      <c r="C392" s="182"/>
      <c r="D392" s="223" t="s">
        <v>421</v>
      </c>
      <c r="E392">
        <f t="shared" si="33"/>
        <v>306</v>
      </c>
      <c r="F392" s="185">
        <f t="shared" si="35"/>
        <v>23</v>
      </c>
      <c r="G392" s="186">
        <v>23</v>
      </c>
      <c r="H392" s="188">
        <v>2200379</v>
      </c>
      <c r="I392" s="201" t="s">
        <v>1741</v>
      </c>
      <c r="J392" s="201" t="s">
        <v>1754</v>
      </c>
      <c r="K392" s="188" t="s">
        <v>1269</v>
      </c>
      <c r="L392" s="201" t="s">
        <v>1190</v>
      </c>
      <c r="M392" s="188" t="s">
        <v>1191</v>
      </c>
      <c r="N392" s="190" t="s">
        <v>230</v>
      </c>
      <c r="O392" s="191" t="s">
        <v>139</v>
      </c>
      <c r="P392" s="328" t="s">
        <v>231</v>
      </c>
      <c r="Q392" s="404" t="s">
        <v>1755</v>
      </c>
      <c r="R392" s="193" t="s">
        <v>1756</v>
      </c>
      <c r="S392" s="193" t="s">
        <v>125</v>
      </c>
      <c r="T392" s="274">
        <v>40416</v>
      </c>
      <c r="U392" s="196" t="s">
        <v>1757</v>
      </c>
      <c r="V392" s="197" t="s">
        <v>1758</v>
      </c>
      <c r="W392" s="193" t="s">
        <v>1759</v>
      </c>
      <c r="X392" s="275">
        <v>6200000</v>
      </c>
      <c r="Y392" s="331">
        <v>5792901</v>
      </c>
      <c r="Z392" s="367">
        <f t="shared" si="34"/>
        <v>0.93400000000000005</v>
      </c>
      <c r="AA392" s="405" t="s">
        <v>129</v>
      </c>
      <c r="AB392" s="406"/>
      <c r="AC392" s="185">
        <v>2</v>
      </c>
      <c r="AD392" s="190" t="s">
        <v>427</v>
      </c>
      <c r="AE392" s="201" t="s">
        <v>1634</v>
      </c>
      <c r="AF392" s="188" t="s">
        <v>1635</v>
      </c>
      <c r="AG392" s="407" t="s">
        <v>1636</v>
      </c>
      <c r="AH392" s="408" t="s">
        <v>428</v>
      </c>
      <c r="AI392" s="184"/>
      <c r="AJ392" s="182"/>
      <c r="AK392" s="182" t="s">
        <v>147</v>
      </c>
      <c r="AL392" s="231" t="str">
        <f>VLOOKUP(AK392,'[3]17見直し計画'!$A$50:$AJ$584,6,0)</f>
        <v>　見直し計画策定以降の新規案件</v>
      </c>
      <c r="AM392" s="204">
        <f>VLOOKUP(AK392,'[3]17見直し計画'!$A$50:$AJ$584,8,0)</f>
        <v>0</v>
      </c>
      <c r="AN392" s="224"/>
      <c r="AO392" s="205">
        <f>VLOOKUP(AK392,'[3]17見直し計画'!$A$50:$AJ$584,11,0)</f>
        <v>0</v>
      </c>
      <c r="AP392" s="204">
        <f>VLOOKUP(AK392,'[3]17見直し計画'!$A$50:$AJ$584,12,0)</f>
        <v>0</v>
      </c>
      <c r="AQ392" s="204">
        <f>VLOOKUP(AK392,'[3]17見直し計画'!$A$50:$AJ$584,13,0)</f>
        <v>0</v>
      </c>
      <c r="AR392" s="204">
        <f>VLOOKUP(AK392,'[3]17見直し計画'!$A$50:$AJ$584,14,0)</f>
        <v>0</v>
      </c>
      <c r="AS392" s="204"/>
      <c r="AT392" s="204">
        <f>VLOOKUP(AK392,'[3]17見直し計画'!$A$50:$AJ$584,35,0)</f>
        <v>0</v>
      </c>
      <c r="AU392" s="204">
        <f>VLOOKUP(AK392,'[3]17見直し計画'!$A$50:$AJ$584,36,0)</f>
        <v>0</v>
      </c>
    </row>
    <row r="393" spans="1:47" ht="105" hidden="1" customHeight="1">
      <c r="B393" s="126" t="s">
        <v>284</v>
      </c>
      <c r="C393" s="120" t="s">
        <v>135</v>
      </c>
      <c r="D393" s="121" t="s">
        <v>136</v>
      </c>
      <c r="E393">
        <f t="shared" si="33"/>
        <v>307</v>
      </c>
      <c r="F393" s="122">
        <f t="shared" si="35"/>
        <v>24</v>
      </c>
      <c r="G393" s="123">
        <v>24</v>
      </c>
      <c r="H393" s="238">
        <v>2200831</v>
      </c>
      <c r="I393" s="238">
        <v>1</v>
      </c>
      <c r="J393" s="238" t="s">
        <v>1760</v>
      </c>
      <c r="K393" s="238" t="s">
        <v>195</v>
      </c>
      <c r="L393" s="239" t="s">
        <v>1182</v>
      </c>
      <c r="M393" s="238" t="s">
        <v>1761</v>
      </c>
      <c r="N393" s="127" t="s">
        <v>138</v>
      </c>
      <c r="O393" s="128" t="s">
        <v>139</v>
      </c>
      <c r="P393" s="321" t="s">
        <v>122</v>
      </c>
      <c r="Q393" s="417" t="s">
        <v>1762</v>
      </c>
      <c r="R393" s="130" t="s">
        <v>1763</v>
      </c>
      <c r="S393" s="130" t="s">
        <v>125</v>
      </c>
      <c r="T393" s="264">
        <v>40416</v>
      </c>
      <c r="U393" s="133" t="s">
        <v>222</v>
      </c>
      <c r="V393" s="134" t="s">
        <v>333</v>
      </c>
      <c r="W393" s="130" t="s">
        <v>1764</v>
      </c>
      <c r="X393" s="265">
        <v>1360800</v>
      </c>
      <c r="Y393" s="241">
        <v>1360800</v>
      </c>
      <c r="Z393" s="383">
        <f t="shared" si="34"/>
        <v>1</v>
      </c>
      <c r="AA393" s="411" t="s">
        <v>129</v>
      </c>
      <c r="AB393" s="412"/>
      <c r="AC393" s="122">
        <v>0</v>
      </c>
      <c r="AD393" s="127" t="s">
        <v>146</v>
      </c>
      <c r="AE393" s="138" t="s">
        <v>1652</v>
      </c>
      <c r="AF393" s="125" t="s">
        <v>1635</v>
      </c>
      <c r="AG393" s="413" t="s">
        <v>1636</v>
      </c>
      <c r="AH393" s="414" t="s">
        <v>132</v>
      </c>
      <c r="AJ393" s="120"/>
      <c r="AK393" s="120" t="s">
        <v>147</v>
      </c>
      <c r="AL393" s="232" t="str">
        <f>VLOOKUP(AK393,'[3]17見直し計画'!$A$50:$AJ$584,6,0)</f>
        <v>　見直し計画策定以降の新規案件</v>
      </c>
      <c r="AM393" s="140">
        <f>VLOOKUP(AK393,'[3]17見直し計画'!$A$50:$AJ$584,8,0)</f>
        <v>0</v>
      </c>
      <c r="AN393" s="180"/>
      <c r="AO393" s="141">
        <f>VLOOKUP(AK393,'[3]17見直し計画'!$A$50:$AJ$584,11,0)</f>
        <v>0</v>
      </c>
      <c r="AP393" s="140">
        <f>VLOOKUP(AK393,'[3]17見直し計画'!$A$50:$AJ$584,12,0)</f>
        <v>0</v>
      </c>
      <c r="AQ393" s="140">
        <f>VLOOKUP(AK393,'[3]17見直し計画'!$A$50:$AJ$584,13,0)</f>
        <v>0</v>
      </c>
      <c r="AR393" s="140">
        <f>VLOOKUP(AK393,'[3]17見直し計画'!$A$50:$AJ$584,14,0)</f>
        <v>0</v>
      </c>
      <c r="AS393" s="140"/>
      <c r="AT393" s="140">
        <f>VLOOKUP(AK393,'[3]17見直し計画'!$A$50:$AJ$584,35,0)</f>
        <v>0</v>
      </c>
      <c r="AU393" s="140">
        <f>VLOOKUP(AK393,'[3]17見直し計画'!$A$50:$AJ$584,36,0)</f>
        <v>0</v>
      </c>
    </row>
    <row r="394" spans="1:47" ht="105" hidden="1" customHeight="1">
      <c r="B394" s="126" t="s">
        <v>284</v>
      </c>
      <c r="C394" s="120" t="s">
        <v>135</v>
      </c>
      <c r="D394" s="121" t="s">
        <v>136</v>
      </c>
      <c r="E394">
        <f t="shared" si="33"/>
        <v>308</v>
      </c>
      <c r="F394" s="122">
        <f t="shared" si="35"/>
        <v>25</v>
      </c>
      <c r="G394" s="123">
        <v>25</v>
      </c>
      <c r="H394" s="238">
        <v>2200855</v>
      </c>
      <c r="I394" s="238">
        <v>1</v>
      </c>
      <c r="J394" s="238" t="s">
        <v>1765</v>
      </c>
      <c r="K394" s="238" t="s">
        <v>195</v>
      </c>
      <c r="L394" s="239" t="s">
        <v>1182</v>
      </c>
      <c r="M394" s="238" t="s">
        <v>1761</v>
      </c>
      <c r="N394" s="127" t="s">
        <v>138</v>
      </c>
      <c r="O394" s="128" t="s">
        <v>139</v>
      </c>
      <c r="P394" s="321" t="s">
        <v>122</v>
      </c>
      <c r="Q394" s="417" t="s">
        <v>1766</v>
      </c>
      <c r="R394" s="130" t="s">
        <v>1767</v>
      </c>
      <c r="S394" s="130" t="s">
        <v>125</v>
      </c>
      <c r="T394" s="264">
        <v>40417</v>
      </c>
      <c r="U394" s="133" t="s">
        <v>1768</v>
      </c>
      <c r="V394" s="134" t="s">
        <v>1769</v>
      </c>
      <c r="W394" s="130" t="s">
        <v>1770</v>
      </c>
      <c r="X394" s="265">
        <v>5197710</v>
      </c>
      <c r="Y394" s="241">
        <v>5197710</v>
      </c>
      <c r="Z394" s="383">
        <f t="shared" si="34"/>
        <v>1</v>
      </c>
      <c r="AA394" s="418" t="s">
        <v>129</v>
      </c>
      <c r="AB394" s="412"/>
      <c r="AC394" s="122">
        <v>0</v>
      </c>
      <c r="AD394" s="127" t="s">
        <v>146</v>
      </c>
      <c r="AE394" s="138" t="s">
        <v>1652</v>
      </c>
      <c r="AF394" s="125" t="s">
        <v>1635</v>
      </c>
      <c r="AG394" s="413" t="s">
        <v>1636</v>
      </c>
      <c r="AH394" s="414" t="s">
        <v>132</v>
      </c>
      <c r="AJ394" s="120"/>
      <c r="AK394" s="120" t="s">
        <v>147</v>
      </c>
      <c r="AL394" s="232" t="str">
        <f>VLOOKUP(AK394,'[3]17見直し計画'!$A$50:$AJ$584,6,0)</f>
        <v>　見直し計画策定以降の新規案件</v>
      </c>
      <c r="AM394" s="140">
        <f>VLOOKUP(AK394,'[3]17見直し計画'!$A$50:$AJ$584,8,0)</f>
        <v>0</v>
      </c>
      <c r="AN394" s="180"/>
      <c r="AO394" s="141">
        <f>VLOOKUP(AK394,'[3]17見直し計画'!$A$50:$AJ$584,11,0)</f>
        <v>0</v>
      </c>
      <c r="AP394" s="140">
        <f>VLOOKUP(AK394,'[3]17見直し計画'!$A$50:$AJ$584,12,0)</f>
        <v>0</v>
      </c>
      <c r="AQ394" s="140">
        <f>VLOOKUP(AK394,'[3]17見直し計画'!$A$50:$AJ$584,13,0)</f>
        <v>0</v>
      </c>
      <c r="AR394" s="140">
        <f>VLOOKUP(AK394,'[3]17見直し計画'!$A$50:$AJ$584,14,0)</f>
        <v>0</v>
      </c>
      <c r="AS394" s="140"/>
      <c r="AT394" s="140">
        <f>VLOOKUP(AK394,'[3]17見直し計画'!$A$50:$AJ$584,35,0)</f>
        <v>0</v>
      </c>
      <c r="AU394" s="140">
        <f>VLOOKUP(AK394,'[3]17見直し計画'!$A$50:$AJ$584,36,0)</f>
        <v>0</v>
      </c>
    </row>
    <row r="395" spans="1:47" ht="105" hidden="1" customHeight="1">
      <c r="B395" s="182"/>
      <c r="C395" s="182"/>
      <c r="D395" s="223" t="s">
        <v>1771</v>
      </c>
      <c r="E395">
        <f t="shared" si="33"/>
        <v>309</v>
      </c>
      <c r="F395" s="185">
        <f t="shared" si="35"/>
        <v>26</v>
      </c>
      <c r="G395" s="186">
        <v>26</v>
      </c>
      <c r="H395" s="188">
        <v>2200843</v>
      </c>
      <c r="I395" s="188">
        <v>1</v>
      </c>
      <c r="J395" s="188" t="s">
        <v>1772</v>
      </c>
      <c r="K395" s="188" t="s">
        <v>1773</v>
      </c>
      <c r="L395" s="201" t="s">
        <v>1163</v>
      </c>
      <c r="M395" s="188" t="s">
        <v>1175</v>
      </c>
      <c r="N395" s="190" t="s">
        <v>277</v>
      </c>
      <c r="O395" s="191" t="s">
        <v>121</v>
      </c>
      <c r="P395" s="328" t="s">
        <v>231</v>
      </c>
      <c r="Q395" s="404" t="s">
        <v>1774</v>
      </c>
      <c r="R395" s="193" t="s">
        <v>1775</v>
      </c>
      <c r="S395" s="193" t="s">
        <v>125</v>
      </c>
      <c r="T395" s="274">
        <v>40417</v>
      </c>
      <c r="U395" s="196" t="s">
        <v>1776</v>
      </c>
      <c r="V395" s="197" t="s">
        <v>1777</v>
      </c>
      <c r="W395" s="193" t="s">
        <v>1643</v>
      </c>
      <c r="X395" s="275">
        <v>6000000</v>
      </c>
      <c r="Y395" s="331">
        <v>4695815</v>
      </c>
      <c r="Z395" s="367">
        <f t="shared" si="34"/>
        <v>0.78200000000000003</v>
      </c>
      <c r="AA395" s="409">
        <v>0</v>
      </c>
      <c r="AB395" s="406"/>
      <c r="AC395" s="185">
        <v>2</v>
      </c>
      <c r="AD395" s="190" t="s">
        <v>1249</v>
      </c>
      <c r="AE395" s="201" t="s">
        <v>1634</v>
      </c>
      <c r="AF395" s="188" t="s">
        <v>1635</v>
      </c>
      <c r="AG395" s="407" t="s">
        <v>1636</v>
      </c>
      <c r="AH395" s="408" t="s">
        <v>428</v>
      </c>
      <c r="AI395" s="184"/>
      <c r="AJ395" s="182"/>
      <c r="AK395" s="182" t="s">
        <v>1778</v>
      </c>
      <c r="AL395" s="231" t="str">
        <f>VLOOKUP(AK395,'[3]17見直し計画'!$A$50:$AJ$584,6,0)</f>
        <v>社団法人
国際フレンドシップ協会</v>
      </c>
      <c r="AM395" s="204" t="str">
        <f>VLOOKUP(AK395,'[3]17見直し計画'!$A$50:$AJ$584,8,0)</f>
        <v>対ＧＣＣ諸国人材育成支援訪日研修事業（企画招請）</v>
      </c>
      <c r="AN395" s="224" t="str">
        <f>VLOOKUP(AK395,'[3]17見直し計画'!$A$50:$AJ$584,10,0)</f>
        <v>平成17/12/07</v>
      </c>
      <c r="AO395" s="205">
        <f>VLOOKUP(AK395,'[3]17見直し計画'!$A$50:$AJ$584,11,0)</f>
        <v>5991238</v>
      </c>
      <c r="AP395" s="204" t="str">
        <f>VLOOKUP(AK395,'[3]17見直し計画'!$A$50:$AJ$584,12,0)</f>
        <v>公示の上、資料提供企画招請を行い、提出された企画書審査及びヒアリングを通じて、企画内容・見積額等総合的に判断し最も優れた企画を提出した本機関に業務委嘱したもの（会計法第２９条の３第４項）。</v>
      </c>
      <c r="AQ395" s="204" t="str">
        <f>VLOOKUP(AK395,'[3]17見直し計画'!$A$50:$AJ$584,13,0)</f>
        <v>見直しの余地があるもの</v>
      </c>
      <c r="AR395" s="204" t="str">
        <f>VLOOKUP(AK395,'[3]17見直し計画'!$A$50:$AJ$584,14,0)</f>
        <v>一般競争入札等に移行したもの（企画招請実施）</v>
      </c>
      <c r="AS395" s="204"/>
      <c r="AT395" s="204">
        <f>VLOOKUP(AK395,'[3]17見直し計画'!$A$50:$AJ$584,35,0)</f>
        <v>0</v>
      </c>
      <c r="AU395" s="204">
        <f>VLOOKUP(AK395,'[3]17見直し計画'!$A$50:$AJ$584,36,0)</f>
        <v>0</v>
      </c>
    </row>
    <row r="396" spans="1:47" ht="105" customHeight="1">
      <c r="A396" t="s">
        <v>148</v>
      </c>
      <c r="B396" s="126" t="s">
        <v>1779</v>
      </c>
      <c r="C396" s="120" t="s">
        <v>350</v>
      </c>
      <c r="D396" s="121" t="s">
        <v>477</v>
      </c>
      <c r="E396">
        <f t="shared" si="33"/>
        <v>310</v>
      </c>
      <c r="F396" s="122">
        <f t="shared" si="35"/>
        <v>27</v>
      </c>
      <c r="G396" s="123">
        <v>27</v>
      </c>
      <c r="H396" s="238">
        <v>2200844</v>
      </c>
      <c r="I396" s="238">
        <v>1</v>
      </c>
      <c r="J396" s="238" t="s">
        <v>1780</v>
      </c>
      <c r="K396" s="238" t="s">
        <v>1222</v>
      </c>
      <c r="L396" s="239" t="s">
        <v>1190</v>
      </c>
      <c r="M396" s="238" t="s">
        <v>1448</v>
      </c>
      <c r="N396" s="127" t="s">
        <v>186</v>
      </c>
      <c r="O396" s="128" t="s">
        <v>187</v>
      </c>
      <c r="P396" s="321" t="s">
        <v>122</v>
      </c>
      <c r="Q396" s="417" t="s">
        <v>1781</v>
      </c>
      <c r="R396" s="130" t="s">
        <v>1782</v>
      </c>
      <c r="S396" s="130" t="s">
        <v>125</v>
      </c>
      <c r="T396" s="264">
        <v>40420</v>
      </c>
      <c r="U396" s="133" t="s">
        <v>1783</v>
      </c>
      <c r="V396" s="134" t="s">
        <v>1784</v>
      </c>
      <c r="W396" s="130" t="s">
        <v>1785</v>
      </c>
      <c r="X396" s="265">
        <v>2263376</v>
      </c>
      <c r="Y396" s="241">
        <v>2263376</v>
      </c>
      <c r="Z396" s="383">
        <f t="shared" si="34"/>
        <v>1</v>
      </c>
      <c r="AA396" s="411" t="s">
        <v>129</v>
      </c>
      <c r="AB396" s="412"/>
      <c r="AC396" s="122">
        <v>0</v>
      </c>
      <c r="AD396" s="127" t="s">
        <v>192</v>
      </c>
      <c r="AE396" s="138" t="s">
        <v>1652</v>
      </c>
      <c r="AF396" s="125" t="s">
        <v>1635</v>
      </c>
      <c r="AG396" s="413" t="s">
        <v>1636</v>
      </c>
      <c r="AH396" s="414" t="s">
        <v>132</v>
      </c>
      <c r="AJ396" s="120"/>
      <c r="AK396" s="120" t="s">
        <v>147</v>
      </c>
      <c r="AL396" s="232" t="str">
        <f>VLOOKUP(AK396,'[3]17見直し計画'!$A$50:$AJ$584,6,0)</f>
        <v>　見直し計画策定以降の新規案件</v>
      </c>
      <c r="AM396" s="140">
        <f>VLOOKUP(AK396,'[3]17見直し計画'!$A$50:$AJ$584,8,0)</f>
        <v>0</v>
      </c>
      <c r="AN396" s="180"/>
      <c r="AO396" s="141">
        <f>VLOOKUP(AK396,'[3]17見直し計画'!$A$50:$AJ$584,11,0)</f>
        <v>0</v>
      </c>
      <c r="AP396" s="140">
        <f>VLOOKUP(AK396,'[3]17見直し計画'!$A$50:$AJ$584,12,0)</f>
        <v>0</v>
      </c>
      <c r="AQ396" s="140">
        <f>VLOOKUP(AK396,'[3]17見直し計画'!$A$50:$AJ$584,13,0)</f>
        <v>0</v>
      </c>
      <c r="AR396" s="140">
        <f>VLOOKUP(AK396,'[3]17見直し計画'!$A$50:$AJ$584,14,0)</f>
        <v>0</v>
      </c>
      <c r="AS396" s="140"/>
      <c r="AT396" s="140">
        <f>VLOOKUP(AK396,'[3]17見直し計画'!$A$50:$AJ$584,35,0)</f>
        <v>0</v>
      </c>
      <c r="AU396" s="140">
        <f>VLOOKUP(AK396,'[3]17見直し計画'!$A$50:$AJ$584,36,0)</f>
        <v>0</v>
      </c>
    </row>
    <row r="397" spans="1:47" ht="105" hidden="1" customHeight="1">
      <c r="B397" s="126" t="s">
        <v>1786</v>
      </c>
      <c r="C397" s="120" t="s">
        <v>135</v>
      </c>
      <c r="D397" s="121" t="s">
        <v>136</v>
      </c>
      <c r="E397">
        <f>SUM(E396+1)</f>
        <v>311</v>
      </c>
      <c r="F397" s="122">
        <f>IF(G397&gt;0,F396+1,"")</f>
        <v>28</v>
      </c>
      <c r="G397" s="123">
        <v>28</v>
      </c>
      <c r="H397" s="238">
        <v>2200839</v>
      </c>
      <c r="I397" s="238">
        <v>1</v>
      </c>
      <c r="J397" s="238" t="s">
        <v>1787</v>
      </c>
      <c r="K397" s="238" t="s">
        <v>1788</v>
      </c>
      <c r="L397" s="239" t="s">
        <v>1190</v>
      </c>
      <c r="M397" s="238" t="s">
        <v>1191</v>
      </c>
      <c r="N397" s="127" t="s">
        <v>138</v>
      </c>
      <c r="O397" s="128" t="s">
        <v>139</v>
      </c>
      <c r="P397" s="321" t="s">
        <v>122</v>
      </c>
      <c r="Q397" s="417" t="s">
        <v>1789</v>
      </c>
      <c r="R397" s="130" t="s">
        <v>1790</v>
      </c>
      <c r="S397" s="130" t="s">
        <v>125</v>
      </c>
      <c r="T397" s="264">
        <v>40420</v>
      </c>
      <c r="U397" s="133" t="s">
        <v>1791</v>
      </c>
      <c r="V397" s="134" t="s">
        <v>1792</v>
      </c>
      <c r="W397" s="130" t="s">
        <v>1793</v>
      </c>
      <c r="X397" s="265">
        <v>1908375</v>
      </c>
      <c r="Y397" s="241">
        <v>1908375</v>
      </c>
      <c r="Z397" s="383">
        <f t="shared" si="34"/>
        <v>1</v>
      </c>
      <c r="AA397" s="411" t="s">
        <v>129</v>
      </c>
      <c r="AB397" s="412"/>
      <c r="AC397" s="122">
        <v>0</v>
      </c>
      <c r="AD397" s="127" t="s">
        <v>146</v>
      </c>
      <c r="AE397" s="138" t="s">
        <v>1652</v>
      </c>
      <c r="AF397" s="125" t="s">
        <v>1635</v>
      </c>
      <c r="AG397" s="413" t="s">
        <v>1636</v>
      </c>
      <c r="AH397" s="414" t="s">
        <v>132</v>
      </c>
      <c r="AJ397" s="120"/>
      <c r="AK397" s="120" t="s">
        <v>147</v>
      </c>
      <c r="AL397" s="232" t="str">
        <f>VLOOKUP(AK397,'[3]17見直し計画'!$A$50:$AJ$584,6,0)</f>
        <v>　見直し計画策定以降の新規案件</v>
      </c>
      <c r="AM397" s="140">
        <f>VLOOKUP(AK397,'[3]17見直し計画'!$A$50:$AJ$584,8,0)</f>
        <v>0</v>
      </c>
      <c r="AN397" s="180"/>
      <c r="AO397" s="141">
        <f>VLOOKUP(AK397,'[3]17見直し計画'!$A$50:$AJ$584,11,0)</f>
        <v>0</v>
      </c>
      <c r="AP397" s="140">
        <f>VLOOKUP(AK397,'[3]17見直し計画'!$A$50:$AJ$584,12,0)</f>
        <v>0</v>
      </c>
      <c r="AQ397" s="140">
        <f>VLOOKUP(AK397,'[3]17見直し計画'!$A$50:$AJ$584,13,0)</f>
        <v>0</v>
      </c>
      <c r="AR397" s="140">
        <f>VLOOKUP(AK397,'[3]17見直し計画'!$A$50:$AJ$584,14,0)</f>
        <v>0</v>
      </c>
      <c r="AS397" s="140"/>
      <c r="AT397" s="140">
        <f>VLOOKUP(AK397,'[3]17見直し計画'!$A$50:$AJ$584,35,0)</f>
        <v>0</v>
      </c>
      <c r="AU397" s="140">
        <f>VLOOKUP(AK397,'[3]17見直し計画'!$A$50:$AJ$584,36,0)</f>
        <v>0</v>
      </c>
    </row>
    <row r="398" spans="1:47" ht="105" hidden="1" customHeight="1">
      <c r="B398" s="182"/>
      <c r="C398" s="182"/>
      <c r="D398" s="223" t="s">
        <v>421</v>
      </c>
      <c r="E398">
        <f t="shared" si="33"/>
        <v>312</v>
      </c>
      <c r="F398" s="185">
        <f t="shared" si="35"/>
        <v>29</v>
      </c>
      <c r="G398" s="186">
        <v>29</v>
      </c>
      <c r="H398" s="188">
        <v>2200846</v>
      </c>
      <c r="I398" s="188">
        <v>1</v>
      </c>
      <c r="J398" s="188" t="s">
        <v>1794</v>
      </c>
      <c r="K398" s="188" t="s">
        <v>1162</v>
      </c>
      <c r="L398" s="201" t="s">
        <v>1163</v>
      </c>
      <c r="M398" s="188" t="s">
        <v>1175</v>
      </c>
      <c r="N398" s="190" t="s">
        <v>230</v>
      </c>
      <c r="O398" s="191" t="s">
        <v>139</v>
      </c>
      <c r="P398" s="328" t="s">
        <v>231</v>
      </c>
      <c r="Q398" s="404" t="s">
        <v>1795</v>
      </c>
      <c r="R398" s="193" t="s">
        <v>1796</v>
      </c>
      <c r="S398" s="193" t="s">
        <v>125</v>
      </c>
      <c r="T398" s="274">
        <v>40421</v>
      </c>
      <c r="U398" s="196" t="s">
        <v>1797</v>
      </c>
      <c r="V398" s="197" t="s">
        <v>1798</v>
      </c>
      <c r="W398" s="193" t="s">
        <v>1643</v>
      </c>
      <c r="X398" s="275">
        <v>12000000</v>
      </c>
      <c r="Y398" s="331">
        <v>11965685</v>
      </c>
      <c r="Z398" s="367">
        <f t="shared" si="34"/>
        <v>0.997</v>
      </c>
      <c r="AA398" s="405" t="s">
        <v>129</v>
      </c>
      <c r="AB398" s="406"/>
      <c r="AC398" s="185">
        <v>3</v>
      </c>
      <c r="AD398" s="190" t="s">
        <v>237</v>
      </c>
      <c r="AE398" s="201" t="s">
        <v>1634</v>
      </c>
      <c r="AF398" s="188" t="s">
        <v>1635</v>
      </c>
      <c r="AG398" s="407" t="s">
        <v>1636</v>
      </c>
      <c r="AH398" s="408" t="s">
        <v>238</v>
      </c>
      <c r="AI398" s="184"/>
      <c r="AJ398" s="182"/>
      <c r="AK398" s="182" t="s">
        <v>147</v>
      </c>
      <c r="AL398" s="231" t="str">
        <f>VLOOKUP(AK398,'[3]17見直し計画'!$A$50:$AJ$584,6,0)</f>
        <v>　見直し計画策定以降の新規案件</v>
      </c>
      <c r="AM398" s="204">
        <f>VLOOKUP(AK398,'[3]17見直し計画'!$A$50:$AJ$584,8,0)</f>
        <v>0</v>
      </c>
      <c r="AN398" s="224"/>
      <c r="AO398" s="205">
        <f>VLOOKUP(AK398,'[3]17見直し計画'!$A$50:$AJ$584,11,0)</f>
        <v>0</v>
      </c>
      <c r="AP398" s="204">
        <f>VLOOKUP(AK398,'[3]17見直し計画'!$A$50:$AJ$584,12,0)</f>
        <v>0</v>
      </c>
      <c r="AQ398" s="204">
        <f>VLOOKUP(AK398,'[3]17見直し計画'!$A$50:$AJ$584,13,0)</f>
        <v>0</v>
      </c>
      <c r="AR398" s="204">
        <f>VLOOKUP(AK398,'[3]17見直し計画'!$A$50:$AJ$584,14,0)</f>
        <v>0</v>
      </c>
      <c r="AS398" s="204"/>
      <c r="AT398" s="204">
        <f>VLOOKUP(AK398,'[3]17見直し計画'!$A$50:$AJ$584,35,0)</f>
        <v>0</v>
      </c>
      <c r="AU398" s="204">
        <f>VLOOKUP(AK398,'[3]17見直し計画'!$A$50:$AJ$584,36,0)</f>
        <v>0</v>
      </c>
    </row>
    <row r="399" spans="1:47" ht="105" hidden="1" customHeight="1">
      <c r="B399" s="182"/>
      <c r="C399" s="182"/>
      <c r="D399" s="223" t="s">
        <v>659</v>
      </c>
      <c r="E399">
        <f t="shared" si="33"/>
        <v>313</v>
      </c>
      <c r="F399" s="185">
        <f t="shared" si="35"/>
        <v>30</v>
      </c>
      <c r="G399" s="186">
        <v>30</v>
      </c>
      <c r="H399" s="188">
        <v>2200851</v>
      </c>
      <c r="I399" s="188">
        <v>1</v>
      </c>
      <c r="J399" s="188" t="s">
        <v>1799</v>
      </c>
      <c r="K399" s="188" t="s">
        <v>1800</v>
      </c>
      <c r="L399" s="201" t="s">
        <v>1190</v>
      </c>
      <c r="M399" s="188" t="s">
        <v>1448</v>
      </c>
      <c r="N399" s="190" t="s">
        <v>277</v>
      </c>
      <c r="O399" s="191" t="s">
        <v>121</v>
      </c>
      <c r="P399" s="328" t="s">
        <v>231</v>
      </c>
      <c r="Q399" s="404" t="s">
        <v>1801</v>
      </c>
      <c r="R399" s="193" t="s">
        <v>1802</v>
      </c>
      <c r="S399" s="193" t="s">
        <v>125</v>
      </c>
      <c r="T399" s="274">
        <v>40421</v>
      </c>
      <c r="U399" s="196" t="s">
        <v>1641</v>
      </c>
      <c r="V399" s="197" t="s">
        <v>1642</v>
      </c>
      <c r="W399" s="193" t="s">
        <v>1643</v>
      </c>
      <c r="X399" s="275">
        <v>11878000</v>
      </c>
      <c r="Y399" s="331">
        <v>11596762</v>
      </c>
      <c r="Z399" s="367">
        <f t="shared" si="34"/>
        <v>0.97599999999999998</v>
      </c>
      <c r="AA399" s="422">
        <v>0</v>
      </c>
      <c r="AB399" s="406"/>
      <c r="AC399" s="185">
        <v>1</v>
      </c>
      <c r="AD399" s="190" t="s">
        <v>283</v>
      </c>
      <c r="AE399" s="201" t="s">
        <v>1634</v>
      </c>
      <c r="AF399" s="188" t="s">
        <v>1635</v>
      </c>
      <c r="AG399" s="407" t="s">
        <v>1636</v>
      </c>
      <c r="AH399" s="408" t="s">
        <v>171</v>
      </c>
      <c r="AI399" s="184"/>
      <c r="AJ399" s="182"/>
      <c r="AK399" s="182" t="s">
        <v>147</v>
      </c>
      <c r="AL399" s="231" t="str">
        <f>VLOOKUP(AK399,'[3]17見直し計画'!$A$50:$AJ$584,6,0)</f>
        <v>　見直し計画策定以降の新規案件</v>
      </c>
      <c r="AM399" s="204">
        <f>VLOOKUP(AK399,'[3]17見直し計画'!$A$50:$AJ$584,8,0)</f>
        <v>0</v>
      </c>
      <c r="AN399" s="224"/>
      <c r="AO399" s="205">
        <f>VLOOKUP(AK399,'[3]17見直し計画'!$A$50:$AJ$584,11,0)</f>
        <v>0</v>
      </c>
      <c r="AP399" s="204">
        <f>VLOOKUP(AK399,'[3]17見直し計画'!$A$50:$AJ$584,12,0)</f>
        <v>0</v>
      </c>
      <c r="AQ399" s="204">
        <f>VLOOKUP(AK399,'[3]17見直し計画'!$A$50:$AJ$584,13,0)</f>
        <v>0</v>
      </c>
      <c r="AR399" s="204">
        <f>VLOOKUP(AK399,'[3]17見直し計画'!$A$50:$AJ$584,14,0)</f>
        <v>0</v>
      </c>
      <c r="AS399" s="204"/>
      <c r="AT399" s="204">
        <f>VLOOKUP(AK399,'[3]17見直し計画'!$A$50:$AJ$584,35,0)</f>
        <v>0</v>
      </c>
      <c r="AU399" s="204">
        <f>VLOOKUP(AK399,'[3]17見直し計画'!$A$50:$AJ$584,36,0)</f>
        <v>0</v>
      </c>
    </row>
    <row r="400" spans="1:47" ht="105" hidden="1" customHeight="1">
      <c r="B400" s="182"/>
      <c r="C400" s="182"/>
      <c r="D400" s="223" t="s">
        <v>421</v>
      </c>
      <c r="E400">
        <f t="shared" si="33"/>
        <v>314</v>
      </c>
      <c r="F400" s="185">
        <f t="shared" si="35"/>
        <v>31</v>
      </c>
      <c r="G400" s="186">
        <v>31</v>
      </c>
      <c r="H400" s="188">
        <v>2200850</v>
      </c>
      <c r="I400" s="188">
        <v>1</v>
      </c>
      <c r="J400" s="188" t="s">
        <v>1803</v>
      </c>
      <c r="K400" s="188" t="s">
        <v>706</v>
      </c>
      <c r="L400" s="201" t="s">
        <v>1190</v>
      </c>
      <c r="M400" s="188" t="s">
        <v>1448</v>
      </c>
      <c r="N400" s="190" t="s">
        <v>277</v>
      </c>
      <c r="O400" s="191" t="s">
        <v>121</v>
      </c>
      <c r="P400" s="328" t="s">
        <v>231</v>
      </c>
      <c r="Q400" s="404" t="s">
        <v>1804</v>
      </c>
      <c r="R400" s="193" t="s">
        <v>1805</v>
      </c>
      <c r="S400" s="193" t="s">
        <v>125</v>
      </c>
      <c r="T400" s="274">
        <v>40421</v>
      </c>
      <c r="U400" s="196" t="s">
        <v>1641</v>
      </c>
      <c r="V400" s="197" t="s">
        <v>1642</v>
      </c>
      <c r="W400" s="193" t="s">
        <v>1643</v>
      </c>
      <c r="X400" s="275">
        <v>10811000</v>
      </c>
      <c r="Y400" s="331">
        <v>10703482</v>
      </c>
      <c r="Z400" s="367">
        <f t="shared" si="34"/>
        <v>0.99</v>
      </c>
      <c r="AA400" s="409">
        <v>0</v>
      </c>
      <c r="AB400" s="406"/>
      <c r="AC400" s="185">
        <v>1</v>
      </c>
      <c r="AD400" s="190" t="s">
        <v>283</v>
      </c>
      <c r="AE400" s="201" t="s">
        <v>1634</v>
      </c>
      <c r="AF400" s="188" t="s">
        <v>1635</v>
      </c>
      <c r="AG400" s="407" t="s">
        <v>1636</v>
      </c>
      <c r="AH400" s="408" t="s">
        <v>171</v>
      </c>
      <c r="AI400" s="184"/>
      <c r="AJ400" s="182"/>
      <c r="AK400" s="182" t="s">
        <v>1806</v>
      </c>
      <c r="AL400" s="231" t="str">
        <f>VLOOKUP(AK400,'[3]17見直し計画'!$A$50:$AJ$584,6,0)</f>
        <v>財団法人　　日本国際交流センター</v>
      </c>
      <c r="AM400" s="204" t="str">
        <f>VLOOKUP(AK400,'[3]17見直し計画'!$A$50:$AJ$584,8,0)</f>
        <v>「日韓フォーラム」（第１３回）開催にかかる事務局業務</v>
      </c>
      <c r="AN400" s="224" t="str">
        <f>VLOOKUP(AK400,'[3]17見直し計画'!$A$50:$AJ$584,10,0)</f>
        <v>平成17/06/20</v>
      </c>
      <c r="AO400" s="205">
        <f>VLOOKUP(AK400,'[3]17見直し計画'!$A$50:$AJ$584,11,0)</f>
        <v>8212555</v>
      </c>
      <c r="AP400" s="204" t="str">
        <f>VLOOKUP(AK400,'[3]17見直し計画'!$A$50:$AJ$584,12,0)</f>
        <v>本フォーラムは、当該財団と韓国側代表機関との合意により、民間主導で進められてきた枠組みである。その後、本フォーラムの意義を評価した日韓両国首脳により、政府として本フォーラムを支持していくことを共同声明等において合意・発表しており、当該財団に委嘱する以外に選択の余地がない（会計法第２９条の３第４項）。</v>
      </c>
      <c r="AQ400" s="204" t="str">
        <f>VLOOKUP(AK400,'[3]17見直し計画'!$A$50:$AJ$584,13,0)</f>
        <v>その他のもの</v>
      </c>
      <c r="AR400" s="204" t="str">
        <f>VLOOKUP(AK400,'[3]17見直し計画'!$A$50:$AJ$584,14,0)</f>
        <v>ー
（随意契約によらざるを得ないもの）</v>
      </c>
      <c r="AS400" s="204"/>
      <c r="AT400" s="204" t="str">
        <f>VLOOKUP(AK400,'[3]17見直し計画'!$A$50:$AJ$584,35,0)</f>
        <v>行政目的を達成するために不可欠な業務を提供することが可能な者から提供を受けるもの</v>
      </c>
      <c r="AU400" s="204" t="str">
        <f>VLOOKUP(AK400,'[3]17見直し計画'!$A$50:$AJ$584,36,0)</f>
        <v>ニ（へ）に準ずる</v>
      </c>
    </row>
    <row r="401" spans="1:47" ht="105" hidden="1" customHeight="1">
      <c r="B401" s="182"/>
      <c r="C401" s="182"/>
      <c r="D401" s="223" t="s">
        <v>159</v>
      </c>
      <c r="E401">
        <f t="shared" si="33"/>
        <v>315</v>
      </c>
      <c r="F401" s="185">
        <f t="shared" si="35"/>
        <v>32</v>
      </c>
      <c r="G401" s="186">
        <v>32</v>
      </c>
      <c r="H401" s="188">
        <v>2200852</v>
      </c>
      <c r="I401" s="188">
        <v>1</v>
      </c>
      <c r="J401" s="188" t="s">
        <v>1807</v>
      </c>
      <c r="K401" s="188" t="s">
        <v>661</v>
      </c>
      <c r="L401" s="201" t="s">
        <v>1190</v>
      </c>
      <c r="M401" s="188" t="s">
        <v>1448</v>
      </c>
      <c r="N401" s="190" t="s">
        <v>230</v>
      </c>
      <c r="O401" s="191" t="s">
        <v>139</v>
      </c>
      <c r="P401" s="328" t="s">
        <v>231</v>
      </c>
      <c r="Q401" s="404" t="s">
        <v>1808</v>
      </c>
      <c r="R401" s="193" t="s">
        <v>1809</v>
      </c>
      <c r="S401" s="193" t="s">
        <v>125</v>
      </c>
      <c r="T401" s="274">
        <v>40421</v>
      </c>
      <c r="U401" s="196" t="s">
        <v>1810</v>
      </c>
      <c r="V401" s="197" t="s">
        <v>1443</v>
      </c>
      <c r="W401" s="193" t="s">
        <v>1643</v>
      </c>
      <c r="X401" s="275">
        <v>3098000</v>
      </c>
      <c r="Y401" s="331">
        <v>2938576</v>
      </c>
      <c r="Z401" s="367">
        <f t="shared" si="34"/>
        <v>0.94799999999999995</v>
      </c>
      <c r="AA401" s="416" t="s">
        <v>129</v>
      </c>
      <c r="AB401" s="406"/>
      <c r="AC401" s="185">
        <v>2</v>
      </c>
      <c r="AD401" s="190" t="s">
        <v>427</v>
      </c>
      <c r="AE401" s="201" t="s">
        <v>1634</v>
      </c>
      <c r="AF401" s="188" t="s">
        <v>1635</v>
      </c>
      <c r="AG401" s="407" t="s">
        <v>1636</v>
      </c>
      <c r="AH401" s="408" t="s">
        <v>428</v>
      </c>
      <c r="AI401" s="184"/>
      <c r="AJ401" s="182"/>
      <c r="AK401" s="182" t="s">
        <v>1429</v>
      </c>
      <c r="AL401" s="231" t="str">
        <f>VLOOKUP(AK401,'[3]17見直し計画'!$A$50:$AJ$584,6,0)</f>
        <v>市立根室病院（市立根室病院院長　羽根田　俊）</v>
      </c>
      <c r="AM401" s="204" t="str">
        <f>VLOOKUP(AK401,'[3]17見直し計画'!$A$50:$AJ$584,8,0)</f>
        <v>北方四島住民支援（平成１７年度患者受入事業：第１回目）について</v>
      </c>
      <c r="AN401" s="224">
        <f>VLOOKUP(AK401,'[3]17見直し計画'!$A$50:$AJ$584,10,0)</f>
        <v>38520</v>
      </c>
      <c r="AO401" s="205">
        <f>VLOOKUP(AK401,'[3]17見直し計画'!$A$50:$AJ$584,11,0)</f>
        <v>6763626</v>
      </c>
      <c r="AP401" s="204" t="str">
        <f>VLOOKUP(AK401,'[3]17見直し計画'!$A$50:$AJ$584,12,0)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401" s="204" t="str">
        <f>VLOOKUP(AK401,'[3]17見直し計画'!$A$50:$AJ$584,13,0)</f>
        <v>その他のもの</v>
      </c>
      <c r="AR401" s="204" t="str">
        <f>VLOOKUP(AK401,'[3]17見直し計画'!$A$50:$AJ$584,14,0)</f>
        <v>随意契約によらざるを得ないもの</v>
      </c>
      <c r="AS401" s="204"/>
      <c r="AT401" s="204" t="str">
        <f>VLOOKUP(AK401,'[3]17見直し計画'!$A$50:$AJ$584,35,0)</f>
        <v>場所が限定される賃貸借その他業務</v>
      </c>
      <c r="AU401" s="204" t="str">
        <f>VLOOKUP(AK401,'[3]17見直し計画'!$A$50:$AJ$584,36,0)</f>
        <v>ロ</v>
      </c>
    </row>
    <row r="402" spans="1:47" ht="105" hidden="1" customHeight="1">
      <c r="B402" s="126" t="s">
        <v>134</v>
      </c>
      <c r="C402" s="120" t="s">
        <v>135</v>
      </c>
      <c r="D402" s="121" t="s">
        <v>136</v>
      </c>
      <c r="E402">
        <f t="shared" si="33"/>
        <v>316</v>
      </c>
      <c r="F402" s="122">
        <v>1</v>
      </c>
      <c r="G402" s="123">
        <v>1</v>
      </c>
      <c r="H402" s="423">
        <v>2200887</v>
      </c>
      <c r="I402" s="424"/>
      <c r="J402" s="425" t="s">
        <v>1811</v>
      </c>
      <c r="K402" s="425" t="s">
        <v>286</v>
      </c>
      <c r="L402" s="426" t="s">
        <v>1812</v>
      </c>
      <c r="M402" s="425" t="s">
        <v>1813</v>
      </c>
      <c r="N402" s="127" t="s">
        <v>138</v>
      </c>
      <c r="O402" s="427" t="s">
        <v>139</v>
      </c>
      <c r="P402" s="321" t="s">
        <v>122</v>
      </c>
      <c r="Q402" s="428" t="s">
        <v>1814</v>
      </c>
      <c r="R402" s="426" t="s">
        <v>1815</v>
      </c>
      <c r="S402" s="429" t="s">
        <v>1816</v>
      </c>
      <c r="T402" s="430">
        <v>40422</v>
      </c>
      <c r="U402" s="426" t="s">
        <v>1817</v>
      </c>
      <c r="V402" s="426" t="s">
        <v>1818</v>
      </c>
      <c r="W402" s="431" t="s">
        <v>1819</v>
      </c>
      <c r="X402" s="432">
        <v>8085000</v>
      </c>
      <c r="Y402" s="432">
        <v>8085000</v>
      </c>
      <c r="Z402" s="433">
        <f>ROUNDDOWN(Y402/X402,3)</f>
        <v>1</v>
      </c>
      <c r="AA402" s="434" t="s">
        <v>1445</v>
      </c>
      <c r="AB402" s="412"/>
      <c r="AC402" s="435" t="s">
        <v>1445</v>
      </c>
      <c r="AD402" s="123" t="s">
        <v>146</v>
      </c>
      <c r="AE402" s="138"/>
      <c r="AF402" s="125"/>
      <c r="AG402" s="436" t="s">
        <v>131</v>
      </c>
      <c r="AH402" s="437" t="s">
        <v>132</v>
      </c>
      <c r="AI402" s="177"/>
      <c r="AJ402" s="120"/>
      <c r="AK402" s="120" t="s">
        <v>147</v>
      </c>
      <c r="AL402" s="232" t="str">
        <f>VLOOKUP(AK402,'[3]17見直し計画'!$A$50:$AJ$584,6,0)</f>
        <v>　見直し計画策定以降の新規案件</v>
      </c>
      <c r="AM402" s="140">
        <f>VLOOKUP(AK402,'[3]17見直し計画'!$A$50:$AJ$584,8,0)</f>
        <v>0</v>
      </c>
      <c r="AN402" s="180"/>
      <c r="AO402" s="141">
        <f>VLOOKUP(AK402,'[3]17見直し計画'!$A$50:$AJ$584,11,0)</f>
        <v>0</v>
      </c>
      <c r="AP402" s="140">
        <f>VLOOKUP(AK402,'[3]17見直し計画'!$A$50:$AJ$584,12,0)</f>
        <v>0</v>
      </c>
      <c r="AQ402" s="140">
        <f>VLOOKUP(AK402,'[3]17見直し計画'!$A$50:$AJ$584,13,0)</f>
        <v>0</v>
      </c>
      <c r="AR402" s="140">
        <f>VLOOKUP(AK402,'[3]17見直し計画'!$A$50:$AJ$584,14,0)</f>
        <v>0</v>
      </c>
      <c r="AS402" s="140"/>
      <c r="AT402" s="140">
        <f>VLOOKUP(AK402,'[3]17見直し計画'!$A$50:$AJ$584,35,0)</f>
        <v>0</v>
      </c>
      <c r="AU402" s="140">
        <f>VLOOKUP(AK402,'[3]17見直し計画'!$A$50:$AJ$584,36,0)</f>
        <v>0</v>
      </c>
    </row>
    <row r="403" spans="1:47" ht="105" hidden="1" customHeight="1">
      <c r="B403" s="126" t="s">
        <v>218</v>
      </c>
      <c r="C403" s="120" t="s">
        <v>135</v>
      </c>
      <c r="D403" s="143" t="s">
        <v>136</v>
      </c>
      <c r="E403">
        <f t="shared" si="33"/>
        <v>317</v>
      </c>
      <c r="F403" s="122">
        <v>2</v>
      </c>
      <c r="G403" s="123">
        <v>2</v>
      </c>
      <c r="H403" s="425">
        <v>2201036</v>
      </c>
      <c r="I403" s="424"/>
      <c r="J403" s="425"/>
      <c r="K403" s="425" t="s">
        <v>1820</v>
      </c>
      <c r="L403" s="426" t="s">
        <v>1821</v>
      </c>
      <c r="M403" s="425" t="s">
        <v>1822</v>
      </c>
      <c r="N403" s="127" t="s">
        <v>138</v>
      </c>
      <c r="O403" s="427" t="s">
        <v>139</v>
      </c>
      <c r="P403" s="321" t="s">
        <v>122</v>
      </c>
      <c r="Q403" s="428" t="s">
        <v>1823</v>
      </c>
      <c r="R403" s="426" t="s">
        <v>1824</v>
      </c>
      <c r="S403" s="429" t="s">
        <v>1816</v>
      </c>
      <c r="T403" s="430">
        <v>40422</v>
      </c>
      <c r="U403" s="426" t="s">
        <v>1825</v>
      </c>
      <c r="V403" s="426" t="s">
        <v>1826</v>
      </c>
      <c r="W403" s="438" t="s">
        <v>1827</v>
      </c>
      <c r="X403" s="432">
        <v>7621614</v>
      </c>
      <c r="Y403" s="432">
        <v>7621614</v>
      </c>
      <c r="Z403" s="433">
        <f t="shared" ref="Z403:Z437" si="36">ROUNDDOWN(Y403/X403,3)</f>
        <v>1</v>
      </c>
      <c r="AA403" s="439" t="s">
        <v>1445</v>
      </c>
      <c r="AB403" s="412"/>
      <c r="AC403" s="435">
        <v>2</v>
      </c>
      <c r="AD403" s="123" t="s">
        <v>1531</v>
      </c>
      <c r="AE403" s="138"/>
      <c r="AF403" s="125"/>
      <c r="AG403" s="436" t="s">
        <v>131</v>
      </c>
      <c r="AH403" s="437" t="s">
        <v>428</v>
      </c>
      <c r="AJ403" s="120"/>
      <c r="AK403" s="120" t="s">
        <v>374</v>
      </c>
      <c r="AL403" s="232" t="str">
        <f>VLOOKUP(AK403,'[3]17見直し計画'!$A$50:$AJ$584,6,0)</f>
        <v>日本放送協会</v>
      </c>
      <c r="AM403" s="140" t="str">
        <f>VLOOKUP(AK403,'[3]17見直し計画'!$A$50:$AJ$584,8,0)</f>
        <v>ＮＨＫテレビ受信料</v>
      </c>
      <c r="AN403" s="180" t="str">
        <f>VLOOKUP(AK403,'[3]17見直し計画'!$A$50:$AJ$584,10,0)</f>
        <v>平成17/04/01</v>
      </c>
      <c r="AO403" s="141">
        <f>VLOOKUP(AK403,'[3]17見直し計画'!$A$50:$AJ$584,11,0)</f>
        <v>8575170</v>
      </c>
      <c r="AP403" s="140" t="str">
        <f>VLOOKUP(AK403,'[3]17見直し計画'!$A$50:$AJ$584,12,0)</f>
        <v>放送受信に当たり他に競争を許さない（会計法第２９条の３第４項）。</v>
      </c>
      <c r="AQ403" s="140" t="str">
        <f>VLOOKUP(AK403,'[3]17見直し計画'!$A$50:$AJ$584,13,0)</f>
        <v>その他のもの</v>
      </c>
      <c r="AR403" s="140" t="str">
        <f>VLOOKUP(AK403,'[3]17見直し計画'!$A$50:$AJ$584,14,0)</f>
        <v>ー
（随意契約によらざるを得ないもの）</v>
      </c>
      <c r="AS403" s="140"/>
      <c r="AT403" s="140" t="str">
        <f>VLOOKUP(AK403,'[3]17見直し計画'!$A$50:$AJ$584,35,0)</f>
        <v>行政目的を達成するために不可欠な情報の提供</v>
      </c>
      <c r="AU403" s="140" t="str">
        <f>VLOOKUP(AK403,'[3]17見直し計画'!$A$50:$AJ$584,36,0)</f>
        <v>ニ（ヘ）</v>
      </c>
    </row>
    <row r="404" spans="1:47" ht="105" hidden="1" customHeight="1">
      <c r="B404" s="182"/>
      <c r="C404" s="182"/>
      <c r="D404" s="223" t="s">
        <v>752</v>
      </c>
      <c r="E404">
        <f t="shared" si="33"/>
        <v>318</v>
      </c>
      <c r="F404" s="185">
        <v>3</v>
      </c>
      <c r="G404" s="186">
        <v>3</v>
      </c>
      <c r="H404" s="440">
        <v>2200848</v>
      </c>
      <c r="I404" s="441"/>
      <c r="J404" s="440" t="s">
        <v>1828</v>
      </c>
      <c r="K404" s="440" t="s">
        <v>721</v>
      </c>
      <c r="L404" s="442" t="s">
        <v>1163</v>
      </c>
      <c r="M404" s="440" t="s">
        <v>1175</v>
      </c>
      <c r="N404" s="190" t="s">
        <v>911</v>
      </c>
      <c r="O404" s="443" t="s">
        <v>688</v>
      </c>
      <c r="P404" s="328" t="s">
        <v>231</v>
      </c>
      <c r="Q404" s="444" t="s">
        <v>1829</v>
      </c>
      <c r="R404" s="442" t="s">
        <v>1830</v>
      </c>
      <c r="S404" s="445" t="s">
        <v>1816</v>
      </c>
      <c r="T404" s="446">
        <v>40422</v>
      </c>
      <c r="U404" s="442" t="s">
        <v>1831</v>
      </c>
      <c r="V404" s="442" t="s">
        <v>1832</v>
      </c>
      <c r="W404" s="447" t="s">
        <v>1643</v>
      </c>
      <c r="X404" s="409">
        <v>3500000</v>
      </c>
      <c r="Y404" s="409">
        <v>3459243</v>
      </c>
      <c r="Z404" s="448">
        <f t="shared" si="36"/>
        <v>0.98799999999999999</v>
      </c>
      <c r="AA404" s="449" t="s">
        <v>1445</v>
      </c>
      <c r="AB404" s="406"/>
      <c r="AC404" s="450">
        <v>3</v>
      </c>
      <c r="AD404" s="186" t="s">
        <v>1168</v>
      </c>
      <c r="AE404" s="201"/>
      <c r="AF404" s="188"/>
      <c r="AG404" s="451" t="s">
        <v>131</v>
      </c>
      <c r="AH404" s="201" t="s">
        <v>238</v>
      </c>
      <c r="AI404" s="184"/>
      <c r="AJ404" s="182"/>
      <c r="AK404" s="182" t="s">
        <v>1833</v>
      </c>
      <c r="AL404" s="231" t="str">
        <f>VLOOKUP(AK404,'[3]17見直し計画'!$A$50:$AJ$584,6,0)</f>
        <v>財団法人日本エネルギー経済研究所</v>
      </c>
      <c r="AM404" s="204" t="str">
        <f>VLOOKUP(AK404,'[3]17見直し計画'!$A$50:$AJ$584,8,0)</f>
        <v>「イラク情勢調査・分析」業務委嘱</v>
      </c>
      <c r="AN404" s="224">
        <f>VLOOKUP(AK404,'[3]17見直し計画'!$A$50:$AJ$584,10,0)</f>
        <v>38638</v>
      </c>
      <c r="AO404" s="205">
        <f>VLOOKUP(AK404,'[3]17見直し計画'!$A$50:$AJ$584,11,0)</f>
        <v>3231648</v>
      </c>
      <c r="AP404" s="204" t="str">
        <f>VLOOKUP(AK404,'[3]17見直し計画'!$A$50:$AJ$584,12,0)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404" s="204" t="str">
        <f>VLOOKUP(AK404,'[3]17見直し計画'!$A$50:$AJ$584,13,0)</f>
        <v>見直しの余地があるもの</v>
      </c>
      <c r="AR404" s="204" t="str">
        <f>VLOOKUP(AK404,'[3]17見直し計画'!$A$50:$AJ$584,14,0)</f>
        <v>企画招請を実施（１８年度以降）</v>
      </c>
      <c r="AS404" s="204"/>
      <c r="AT404" s="204">
        <f>VLOOKUP(AK404,'[3]17見直し計画'!$A$50:$AJ$584,35,0)</f>
        <v>0</v>
      </c>
      <c r="AU404" s="204">
        <f>VLOOKUP(AK404,'[3]17見直し計画'!$A$50:$AJ$584,36,0)</f>
        <v>0</v>
      </c>
    </row>
    <row r="405" spans="1:47" ht="105" customHeight="1">
      <c r="B405" s="126" t="s">
        <v>1495</v>
      </c>
      <c r="C405" s="120" t="s">
        <v>350</v>
      </c>
      <c r="D405" s="120" t="s">
        <v>477</v>
      </c>
      <c r="E405">
        <f t="shared" si="33"/>
        <v>319</v>
      </c>
      <c r="F405" s="122">
        <v>4</v>
      </c>
      <c r="G405" s="123">
        <v>4</v>
      </c>
      <c r="H405" s="425">
        <v>2200869</v>
      </c>
      <c r="I405" s="424"/>
      <c r="J405" s="425" t="s">
        <v>1834</v>
      </c>
      <c r="K405" s="425" t="s">
        <v>1222</v>
      </c>
      <c r="L405" s="426" t="s">
        <v>1190</v>
      </c>
      <c r="M405" s="425" t="s">
        <v>1448</v>
      </c>
      <c r="N405" s="127" t="s">
        <v>138</v>
      </c>
      <c r="O405" s="427" t="s">
        <v>139</v>
      </c>
      <c r="P405" s="321" t="s">
        <v>122</v>
      </c>
      <c r="Q405" s="428" t="s">
        <v>1835</v>
      </c>
      <c r="R405" s="426" t="s">
        <v>1836</v>
      </c>
      <c r="S405" s="429" t="s">
        <v>1816</v>
      </c>
      <c r="T405" s="430">
        <v>40424</v>
      </c>
      <c r="U405" s="426" t="s">
        <v>1837</v>
      </c>
      <c r="V405" s="426" t="s">
        <v>1499</v>
      </c>
      <c r="W405" s="452" t="s">
        <v>1785</v>
      </c>
      <c r="X405" s="432">
        <v>1172875</v>
      </c>
      <c r="Y405" s="432">
        <v>1172875</v>
      </c>
      <c r="Z405" s="433">
        <f t="shared" si="36"/>
        <v>1</v>
      </c>
      <c r="AA405" s="439" t="s">
        <v>1445</v>
      </c>
      <c r="AB405" s="412"/>
      <c r="AC405" s="435" t="s">
        <v>1445</v>
      </c>
      <c r="AD405" s="123" t="s">
        <v>146</v>
      </c>
      <c r="AE405" s="138"/>
      <c r="AF405" s="125"/>
      <c r="AG405" s="436" t="s">
        <v>131</v>
      </c>
      <c r="AH405" s="437" t="s">
        <v>132</v>
      </c>
      <c r="AJ405" s="120"/>
      <c r="AK405" s="120" t="s">
        <v>147</v>
      </c>
      <c r="AL405" s="232" t="str">
        <f>VLOOKUP(AK405,'[3]17見直し計画'!$A$50:$AJ$584,6,0)</f>
        <v>　見直し計画策定以降の新規案件</v>
      </c>
      <c r="AM405" s="140">
        <f>VLOOKUP(AK405,'[3]17見直し計画'!$A$50:$AJ$584,8,0)</f>
        <v>0</v>
      </c>
      <c r="AN405" s="180"/>
      <c r="AO405" s="141">
        <f>VLOOKUP(AK405,'[3]17見直し計画'!$A$50:$AJ$584,11,0)</f>
        <v>0</v>
      </c>
      <c r="AP405" s="140">
        <f>VLOOKUP(AK405,'[3]17見直し計画'!$A$50:$AJ$584,12,0)</f>
        <v>0</v>
      </c>
      <c r="AQ405" s="140">
        <f>VLOOKUP(AK405,'[3]17見直し計画'!$A$50:$AJ$584,13,0)</f>
        <v>0</v>
      </c>
      <c r="AR405" s="140">
        <f>VLOOKUP(AK405,'[3]17見直し計画'!$A$50:$AJ$584,14,0)</f>
        <v>0</v>
      </c>
      <c r="AS405" s="140"/>
      <c r="AT405" s="140">
        <f>VLOOKUP(AK405,'[3]17見直し計画'!$A$50:$AJ$584,35,0)</f>
        <v>0</v>
      </c>
      <c r="AU405" s="140">
        <f>VLOOKUP(AK405,'[3]17見直し計画'!$A$50:$AJ$584,36,0)</f>
        <v>0</v>
      </c>
    </row>
    <row r="406" spans="1:47" ht="105" hidden="1" customHeight="1">
      <c r="B406" s="126" t="s">
        <v>134</v>
      </c>
      <c r="C406" s="120" t="s">
        <v>135</v>
      </c>
      <c r="D406" s="143" t="s">
        <v>136</v>
      </c>
      <c r="E406">
        <f>SUM(E405+1)</f>
        <v>320</v>
      </c>
      <c r="F406" s="122">
        <v>5</v>
      </c>
      <c r="G406" s="123">
        <v>5</v>
      </c>
      <c r="H406" s="425">
        <v>2200842</v>
      </c>
      <c r="I406" s="424"/>
      <c r="J406" s="425" t="s">
        <v>1838</v>
      </c>
      <c r="K406" s="425" t="s">
        <v>932</v>
      </c>
      <c r="L406" s="426" t="s">
        <v>1182</v>
      </c>
      <c r="M406" s="425" t="s">
        <v>1183</v>
      </c>
      <c r="N406" s="127" t="s">
        <v>138</v>
      </c>
      <c r="O406" s="453" t="s">
        <v>139</v>
      </c>
      <c r="P406" s="321" t="s">
        <v>122</v>
      </c>
      <c r="Q406" s="428" t="s">
        <v>1839</v>
      </c>
      <c r="R406" s="426" t="s">
        <v>1840</v>
      </c>
      <c r="S406" s="429" t="s">
        <v>1816</v>
      </c>
      <c r="T406" s="430">
        <v>40427</v>
      </c>
      <c r="U406" s="426" t="s">
        <v>1841</v>
      </c>
      <c r="V406" s="426" t="s">
        <v>270</v>
      </c>
      <c r="W406" s="452" t="s">
        <v>1695</v>
      </c>
      <c r="X406" s="432">
        <v>32248545</v>
      </c>
      <c r="Y406" s="432">
        <v>32248545</v>
      </c>
      <c r="Z406" s="433">
        <f t="shared" si="36"/>
        <v>1</v>
      </c>
      <c r="AA406" s="439" t="s">
        <v>1445</v>
      </c>
      <c r="AB406" s="412"/>
      <c r="AC406" s="435" t="s">
        <v>1445</v>
      </c>
      <c r="AD406" s="123" t="s">
        <v>146</v>
      </c>
      <c r="AE406" s="138"/>
      <c r="AF406" s="125"/>
      <c r="AG406" s="436" t="s">
        <v>131</v>
      </c>
      <c r="AH406" s="437" t="s">
        <v>132</v>
      </c>
      <c r="AJ406" s="120"/>
      <c r="AK406" s="120" t="s">
        <v>147</v>
      </c>
      <c r="AL406" s="232" t="str">
        <f>VLOOKUP(AK406,'[3]17見直し計画'!$A$50:$AJ$584,6,0)</f>
        <v>　見直し計画策定以降の新規案件</v>
      </c>
      <c r="AM406" s="140">
        <f>VLOOKUP(AK406,'[3]17見直し計画'!$A$50:$AJ$584,8,0)</f>
        <v>0</v>
      </c>
      <c r="AN406" s="180"/>
      <c r="AO406" s="141">
        <f>VLOOKUP(AK406,'[3]17見直し計画'!$A$50:$AJ$584,11,0)</f>
        <v>0</v>
      </c>
      <c r="AP406" s="140">
        <f>VLOOKUP(AK406,'[3]17見直し計画'!$A$50:$AJ$584,12,0)</f>
        <v>0</v>
      </c>
      <c r="AQ406" s="140">
        <f>VLOOKUP(AK406,'[3]17見直し計画'!$A$50:$AJ$584,13,0)</f>
        <v>0</v>
      </c>
      <c r="AR406" s="140">
        <f>VLOOKUP(AK406,'[3]17見直し計画'!$A$50:$AJ$584,14,0)</f>
        <v>0</v>
      </c>
      <c r="AS406" s="140"/>
      <c r="AT406" s="140">
        <f>VLOOKUP(AK406,'[3]17見直し計画'!$A$50:$AJ$584,35,0)</f>
        <v>0</v>
      </c>
      <c r="AU406" s="140">
        <f>VLOOKUP(AK406,'[3]17見直し計画'!$A$50:$AJ$584,36,0)</f>
        <v>0</v>
      </c>
    </row>
    <row r="407" spans="1:47" ht="105" hidden="1" customHeight="1">
      <c r="A407" t="s">
        <v>148</v>
      </c>
      <c r="B407" s="182"/>
      <c r="C407" s="182"/>
      <c r="D407" s="223" t="s">
        <v>421</v>
      </c>
      <c r="E407">
        <f t="shared" si="33"/>
        <v>321</v>
      </c>
      <c r="F407" s="185">
        <v>6</v>
      </c>
      <c r="G407" s="186">
        <v>6</v>
      </c>
      <c r="H407" s="440">
        <v>2201031</v>
      </c>
      <c r="I407" s="441"/>
      <c r="J407" s="440" t="s">
        <v>1842</v>
      </c>
      <c r="K407" s="440" t="s">
        <v>501</v>
      </c>
      <c r="L407" s="442" t="s">
        <v>1202</v>
      </c>
      <c r="M407" s="440" t="s">
        <v>1655</v>
      </c>
      <c r="N407" s="190" t="s">
        <v>1843</v>
      </c>
      <c r="O407" s="443" t="s">
        <v>187</v>
      </c>
      <c r="P407" s="328" t="s">
        <v>231</v>
      </c>
      <c r="Q407" s="444" t="s">
        <v>1844</v>
      </c>
      <c r="R407" s="442" t="s">
        <v>1845</v>
      </c>
      <c r="S407" s="445" t="s">
        <v>1816</v>
      </c>
      <c r="T407" s="446">
        <v>40428</v>
      </c>
      <c r="U407" s="442" t="s">
        <v>1846</v>
      </c>
      <c r="V407" s="442" t="s">
        <v>1685</v>
      </c>
      <c r="W407" s="447" t="s">
        <v>1847</v>
      </c>
      <c r="X407" s="409">
        <v>370000000</v>
      </c>
      <c r="Y407" s="454">
        <v>159392687</v>
      </c>
      <c r="Z407" s="448">
        <f t="shared" si="36"/>
        <v>0.43</v>
      </c>
      <c r="AA407" s="449" t="s">
        <v>1445</v>
      </c>
      <c r="AB407" s="271" t="s">
        <v>1848</v>
      </c>
      <c r="AC407" s="450">
        <v>4</v>
      </c>
      <c r="AD407" s="186" t="s">
        <v>1849</v>
      </c>
      <c r="AE407" s="201"/>
      <c r="AF407" s="188"/>
      <c r="AG407" s="451" t="s">
        <v>131</v>
      </c>
      <c r="AH407" s="201" t="s">
        <v>238</v>
      </c>
      <c r="AI407" s="184"/>
      <c r="AJ407" s="182"/>
      <c r="AK407" s="182" t="s">
        <v>147</v>
      </c>
      <c r="AL407" s="231" t="str">
        <f>VLOOKUP(AK407,'[3]17見直し計画'!$A$50:$AJ$584,6,0)</f>
        <v>　見直し計画策定以降の新規案件</v>
      </c>
      <c r="AM407" s="204">
        <f>VLOOKUP(AK407,'[3]17見直し計画'!$A$50:$AJ$584,8,0)</f>
        <v>0</v>
      </c>
      <c r="AN407" s="224"/>
      <c r="AO407" s="205">
        <f>VLOOKUP(AK407,'[3]17見直し計画'!$A$50:$AJ$584,11,0)</f>
        <v>0</v>
      </c>
      <c r="AP407" s="204">
        <f>VLOOKUP(AK407,'[3]17見直し計画'!$A$50:$AJ$584,12,0)</f>
        <v>0</v>
      </c>
      <c r="AQ407" s="204">
        <f>VLOOKUP(AK407,'[3]17見直し計画'!$A$50:$AJ$584,13,0)</f>
        <v>0</v>
      </c>
      <c r="AR407" s="204">
        <f>VLOOKUP(AK407,'[3]17見直し計画'!$A$50:$AJ$584,14,0)</f>
        <v>0</v>
      </c>
      <c r="AS407" s="204"/>
      <c r="AT407" s="204">
        <f>VLOOKUP(AK407,'[3]17見直し計画'!$A$50:$AJ$584,35,0)</f>
        <v>0</v>
      </c>
      <c r="AU407" s="204">
        <f>VLOOKUP(AK407,'[3]17見直し計画'!$A$50:$AJ$584,36,0)</f>
        <v>0</v>
      </c>
    </row>
    <row r="408" spans="1:47" ht="105" hidden="1" customHeight="1">
      <c r="B408" s="182"/>
      <c r="C408" s="182"/>
      <c r="D408" s="223" t="s">
        <v>421</v>
      </c>
      <c r="E408">
        <f t="shared" si="33"/>
        <v>322</v>
      </c>
      <c r="F408" s="185">
        <v>7</v>
      </c>
      <c r="G408" s="186">
        <v>7</v>
      </c>
      <c r="H408" s="440">
        <v>2201032</v>
      </c>
      <c r="I408" s="441"/>
      <c r="J408" s="440" t="s">
        <v>1850</v>
      </c>
      <c r="K408" s="440" t="s">
        <v>501</v>
      </c>
      <c r="L408" s="442" t="s">
        <v>1202</v>
      </c>
      <c r="M408" s="440" t="s">
        <v>1655</v>
      </c>
      <c r="N408" s="190" t="s">
        <v>230</v>
      </c>
      <c r="O408" s="455" t="s">
        <v>139</v>
      </c>
      <c r="P408" s="328" t="s">
        <v>231</v>
      </c>
      <c r="Q408" s="444" t="s">
        <v>1851</v>
      </c>
      <c r="R408" s="442" t="s">
        <v>1852</v>
      </c>
      <c r="S408" s="445" t="s">
        <v>1816</v>
      </c>
      <c r="T408" s="446">
        <v>40428</v>
      </c>
      <c r="U408" s="442" t="s">
        <v>1853</v>
      </c>
      <c r="V408" s="442" t="s">
        <v>235</v>
      </c>
      <c r="W408" s="447" t="s">
        <v>1854</v>
      </c>
      <c r="X408" s="409">
        <v>90000000</v>
      </c>
      <c r="Y408" s="454">
        <v>32838750</v>
      </c>
      <c r="Z408" s="448">
        <f t="shared" si="36"/>
        <v>0.36399999999999999</v>
      </c>
      <c r="AA408" s="449" t="s">
        <v>1445</v>
      </c>
      <c r="AB408" s="271" t="s">
        <v>1855</v>
      </c>
      <c r="AC408" s="450">
        <v>5</v>
      </c>
      <c r="AD408" s="186" t="s">
        <v>237</v>
      </c>
      <c r="AE408" s="201"/>
      <c r="AF408" s="188"/>
      <c r="AG408" s="451" t="s">
        <v>131</v>
      </c>
      <c r="AH408" s="201" t="s">
        <v>238</v>
      </c>
      <c r="AI408" s="184"/>
      <c r="AJ408" s="182"/>
      <c r="AK408" s="182" t="s">
        <v>147</v>
      </c>
      <c r="AL408" s="231" t="str">
        <f>VLOOKUP(AK408,'[3]17見直し計画'!$A$50:$AJ$584,6,0)</f>
        <v>　見直し計画策定以降の新規案件</v>
      </c>
      <c r="AM408" s="204">
        <f>VLOOKUP(AK408,'[3]17見直し計画'!$A$50:$AJ$584,8,0)</f>
        <v>0</v>
      </c>
      <c r="AN408" s="224"/>
      <c r="AO408" s="205">
        <f>VLOOKUP(AK408,'[3]17見直し計画'!$A$50:$AJ$584,11,0)</f>
        <v>0</v>
      </c>
      <c r="AP408" s="204">
        <f>VLOOKUP(AK408,'[3]17見直し計画'!$A$50:$AJ$584,12,0)</f>
        <v>0</v>
      </c>
      <c r="AQ408" s="204">
        <f>VLOOKUP(AK408,'[3]17見直し計画'!$A$50:$AJ$584,13,0)</f>
        <v>0</v>
      </c>
      <c r="AR408" s="204">
        <f>VLOOKUP(AK408,'[3]17見直し計画'!$A$50:$AJ$584,14,0)</f>
        <v>0</v>
      </c>
      <c r="AS408" s="204"/>
      <c r="AT408" s="204">
        <f>VLOOKUP(AK408,'[3]17見直し計画'!$A$50:$AJ$584,35,0)</f>
        <v>0</v>
      </c>
      <c r="AU408" s="204">
        <f>VLOOKUP(AK408,'[3]17見直し計画'!$A$50:$AJ$584,36,0)</f>
        <v>0</v>
      </c>
    </row>
    <row r="409" spans="1:47" ht="105" hidden="1" customHeight="1">
      <c r="B409" s="182"/>
      <c r="C409" s="182"/>
      <c r="D409" s="223" t="s">
        <v>421</v>
      </c>
      <c r="E409">
        <f t="shared" si="33"/>
        <v>323</v>
      </c>
      <c r="F409" s="185">
        <v>8</v>
      </c>
      <c r="G409" s="186">
        <v>8</v>
      </c>
      <c r="H409" s="440">
        <v>2200895</v>
      </c>
      <c r="I409" s="441"/>
      <c r="J409" s="440" t="s">
        <v>1856</v>
      </c>
      <c r="K409" s="440" t="s">
        <v>875</v>
      </c>
      <c r="L409" s="442" t="s">
        <v>1163</v>
      </c>
      <c r="M409" s="440" t="s">
        <v>1175</v>
      </c>
      <c r="N409" s="190" t="s">
        <v>230</v>
      </c>
      <c r="O409" s="455" t="s">
        <v>139</v>
      </c>
      <c r="P409" s="328" t="s">
        <v>231</v>
      </c>
      <c r="Q409" s="444" t="s">
        <v>1857</v>
      </c>
      <c r="R409" s="442" t="s">
        <v>1858</v>
      </c>
      <c r="S409" s="445" t="s">
        <v>1816</v>
      </c>
      <c r="T409" s="446">
        <v>40430</v>
      </c>
      <c r="U409" s="442" t="s">
        <v>1859</v>
      </c>
      <c r="V409" s="442" t="s">
        <v>879</v>
      </c>
      <c r="W409" s="447" t="s">
        <v>1643</v>
      </c>
      <c r="X409" s="409">
        <v>1900000</v>
      </c>
      <c r="Y409" s="409">
        <v>1845900</v>
      </c>
      <c r="Z409" s="448">
        <f t="shared" si="36"/>
        <v>0.97099999999999997</v>
      </c>
      <c r="AA409" s="449" t="s">
        <v>1445</v>
      </c>
      <c r="AB409" s="406"/>
      <c r="AC409" s="450">
        <v>9</v>
      </c>
      <c r="AD409" s="186" t="s">
        <v>237</v>
      </c>
      <c r="AE409" s="201"/>
      <c r="AF409" s="188"/>
      <c r="AG409" s="451" t="s">
        <v>131</v>
      </c>
      <c r="AH409" s="201" t="s">
        <v>238</v>
      </c>
      <c r="AI409" s="184"/>
      <c r="AJ409" s="182"/>
      <c r="AK409" s="182" t="s">
        <v>147</v>
      </c>
      <c r="AL409" s="231" t="str">
        <f>VLOOKUP(AK409,'[3]17見直し計画'!$A$50:$AJ$584,6,0)</f>
        <v>　見直し計画策定以降の新規案件</v>
      </c>
      <c r="AM409" s="204">
        <f>VLOOKUP(AK409,'[3]17見直し計画'!$A$50:$AJ$584,8,0)</f>
        <v>0</v>
      </c>
      <c r="AN409" s="224"/>
      <c r="AO409" s="205">
        <f>VLOOKUP(AK409,'[3]17見直し計画'!$A$50:$AJ$584,11,0)</f>
        <v>0</v>
      </c>
      <c r="AP409" s="204">
        <f>VLOOKUP(AK409,'[3]17見直し計画'!$A$50:$AJ$584,12,0)</f>
        <v>0</v>
      </c>
      <c r="AQ409" s="204">
        <f>VLOOKUP(AK409,'[3]17見直し計画'!$A$50:$AJ$584,13,0)</f>
        <v>0</v>
      </c>
      <c r="AR409" s="204">
        <f>VLOOKUP(AK409,'[3]17見直し計画'!$A$50:$AJ$584,14,0)</f>
        <v>0</v>
      </c>
      <c r="AS409" s="204"/>
      <c r="AT409" s="204">
        <f>VLOOKUP(AK409,'[3]17見直し計画'!$A$50:$AJ$584,35,0)</f>
        <v>0</v>
      </c>
      <c r="AU409" s="204">
        <f>VLOOKUP(AK409,'[3]17見直し計画'!$A$50:$AJ$584,36,0)</f>
        <v>0</v>
      </c>
    </row>
    <row r="410" spans="1:47" ht="105" hidden="1" customHeight="1">
      <c r="A410" t="s">
        <v>148</v>
      </c>
      <c r="B410" s="291" t="s">
        <v>218</v>
      </c>
      <c r="C410" s="143" t="s">
        <v>135</v>
      </c>
      <c r="D410" s="143" t="s">
        <v>136</v>
      </c>
      <c r="E410">
        <f t="shared" si="33"/>
        <v>324</v>
      </c>
      <c r="F410" s="122">
        <v>9</v>
      </c>
      <c r="G410" s="123">
        <v>9</v>
      </c>
      <c r="H410" s="425">
        <v>2201050</v>
      </c>
      <c r="I410" s="424"/>
      <c r="J410" s="425" t="s">
        <v>1860</v>
      </c>
      <c r="K410" s="425" t="s">
        <v>501</v>
      </c>
      <c r="L410" s="426" t="s">
        <v>1202</v>
      </c>
      <c r="M410" s="425" t="s">
        <v>1655</v>
      </c>
      <c r="N410" s="127" t="s">
        <v>138</v>
      </c>
      <c r="O410" s="427" t="s">
        <v>139</v>
      </c>
      <c r="P410" s="321" t="s">
        <v>122</v>
      </c>
      <c r="Q410" s="428" t="s">
        <v>1861</v>
      </c>
      <c r="R410" s="426" t="s">
        <v>1862</v>
      </c>
      <c r="S410" s="429" t="s">
        <v>1816</v>
      </c>
      <c r="T410" s="430">
        <v>40431</v>
      </c>
      <c r="U410" s="426" t="s">
        <v>1863</v>
      </c>
      <c r="V410" s="426" t="s">
        <v>1864</v>
      </c>
      <c r="W410" s="452" t="s">
        <v>1865</v>
      </c>
      <c r="X410" s="432">
        <v>219338004</v>
      </c>
      <c r="Y410" s="454">
        <v>89696399</v>
      </c>
      <c r="Z410" s="448">
        <f t="shared" si="36"/>
        <v>0.40799999999999997</v>
      </c>
      <c r="AA410" s="449" t="s">
        <v>1445</v>
      </c>
      <c r="AB410" s="271" t="s">
        <v>1866</v>
      </c>
      <c r="AC410" s="450" t="s">
        <v>1445</v>
      </c>
      <c r="AD410" s="186" t="s">
        <v>146</v>
      </c>
      <c r="AE410" s="201"/>
      <c r="AF410" s="188"/>
      <c r="AG410" s="451" t="s">
        <v>131</v>
      </c>
      <c r="AH410" s="201" t="s">
        <v>132</v>
      </c>
      <c r="AI410" s="184"/>
      <c r="AJ410" s="182"/>
      <c r="AK410" s="182" t="s">
        <v>147</v>
      </c>
      <c r="AL410" s="231" t="str">
        <f>VLOOKUP(AK410,'[3]17見直し計画'!$A$50:$AJ$584,6,0)</f>
        <v>　見直し計画策定以降の新規案件</v>
      </c>
      <c r="AM410" s="204">
        <f>VLOOKUP(AK410,'[3]17見直し計画'!$A$50:$AJ$584,8,0)</f>
        <v>0</v>
      </c>
      <c r="AN410" s="224"/>
      <c r="AO410" s="205">
        <f>VLOOKUP(AK410,'[3]17見直し計画'!$A$50:$AJ$584,11,0)</f>
        <v>0</v>
      </c>
      <c r="AP410" s="204">
        <f>VLOOKUP(AK410,'[3]17見直し計画'!$A$50:$AJ$584,12,0)</f>
        <v>0</v>
      </c>
      <c r="AQ410" s="204">
        <f>VLOOKUP(AK410,'[3]17見直し計画'!$A$50:$AJ$584,13,0)</f>
        <v>0</v>
      </c>
      <c r="AR410" s="204">
        <f>VLOOKUP(AK410,'[3]17見直し計画'!$A$50:$AJ$584,14,0)</f>
        <v>0</v>
      </c>
      <c r="AS410" s="204"/>
      <c r="AT410" s="204">
        <f>VLOOKUP(AK410,'[3]17見直し計画'!$A$50:$AJ$584,35,0)</f>
        <v>0</v>
      </c>
      <c r="AU410" s="204">
        <f>VLOOKUP(AK410,'[3]17見直し計画'!$A$50:$AJ$584,36,0)</f>
        <v>0</v>
      </c>
    </row>
    <row r="411" spans="1:47" ht="105" customHeight="1">
      <c r="B411" s="143" t="s">
        <v>476</v>
      </c>
      <c r="C411" s="143" t="s">
        <v>550</v>
      </c>
      <c r="D411" s="143" t="s">
        <v>351</v>
      </c>
      <c r="E411">
        <f t="shared" si="33"/>
        <v>325</v>
      </c>
      <c r="F411" s="456">
        <v>10</v>
      </c>
      <c r="G411" s="457">
        <v>10</v>
      </c>
      <c r="H411" s="458">
        <v>2200956</v>
      </c>
      <c r="I411" s="459"/>
      <c r="J411" s="458" t="s">
        <v>1867</v>
      </c>
      <c r="K411" s="458" t="s">
        <v>1162</v>
      </c>
      <c r="L411" s="460" t="s">
        <v>1163</v>
      </c>
      <c r="M411" s="458" t="s">
        <v>1175</v>
      </c>
      <c r="N411" s="127" t="s">
        <v>138</v>
      </c>
      <c r="O411" s="453" t="s">
        <v>139</v>
      </c>
      <c r="P411" s="461" t="s">
        <v>122</v>
      </c>
      <c r="Q411" s="462" t="s">
        <v>1868</v>
      </c>
      <c r="R411" s="460" t="s">
        <v>1869</v>
      </c>
      <c r="S411" s="463" t="s">
        <v>1816</v>
      </c>
      <c r="T411" s="464">
        <v>40431</v>
      </c>
      <c r="U411" s="460" t="s">
        <v>1870</v>
      </c>
      <c r="V411" s="460" t="s">
        <v>1432</v>
      </c>
      <c r="W411" s="465" t="s">
        <v>1871</v>
      </c>
      <c r="X411" s="466">
        <v>6846765</v>
      </c>
      <c r="Y411" s="466">
        <v>6846765</v>
      </c>
      <c r="Z411" s="433">
        <f t="shared" si="36"/>
        <v>1</v>
      </c>
      <c r="AA411" s="467" t="s">
        <v>1445</v>
      </c>
      <c r="AB411" s="468"/>
      <c r="AC411" s="469" t="s">
        <v>1445</v>
      </c>
      <c r="AD411" s="457" t="s">
        <v>146</v>
      </c>
      <c r="AE411" s="138"/>
      <c r="AF411" s="125"/>
      <c r="AG411" s="436" t="s">
        <v>131</v>
      </c>
      <c r="AH411" s="470" t="s">
        <v>132</v>
      </c>
      <c r="AJ411" s="120"/>
      <c r="AK411" s="120" t="s">
        <v>1429</v>
      </c>
      <c r="AL411" s="232" t="str">
        <f>VLOOKUP(AK411,'[3]17見直し計画'!$A$50:$AJ$584,6,0)</f>
        <v>市立根室病院（市立根室病院院長　羽根田　俊）</v>
      </c>
      <c r="AM411" s="140" t="str">
        <f>VLOOKUP(AK411,'[3]17見直し計画'!$A$50:$AJ$584,8,0)</f>
        <v>北方四島住民支援（平成１７年度患者受入事業：第１回目）について</v>
      </c>
      <c r="AN411" s="180">
        <f>VLOOKUP(AK411,'[3]17見直し計画'!$A$50:$AJ$584,10,0)</f>
        <v>38520</v>
      </c>
      <c r="AO411" s="141">
        <f>VLOOKUP(AK411,'[3]17見直し計画'!$A$50:$AJ$584,11,0)</f>
        <v>6763626</v>
      </c>
      <c r="AP411" s="140" t="str">
        <f>VLOOKUP(AK411,'[3]17見直し計画'!$A$50:$AJ$584,12,0)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411" s="140" t="str">
        <f>VLOOKUP(AK411,'[3]17見直し計画'!$A$50:$AJ$584,13,0)</f>
        <v>その他のもの</v>
      </c>
      <c r="AR411" s="140" t="str">
        <f>VLOOKUP(AK411,'[3]17見直し計画'!$A$50:$AJ$584,14,0)</f>
        <v>随意契約によらざるを得ないもの</v>
      </c>
      <c r="AS411" s="140"/>
      <c r="AT411" s="140" t="str">
        <f>VLOOKUP(AK411,'[3]17見直し計画'!$A$50:$AJ$584,35,0)</f>
        <v>場所が限定される賃貸借その他業務</v>
      </c>
      <c r="AU411" s="140" t="str">
        <f>VLOOKUP(AK411,'[3]17見直し計画'!$A$50:$AJ$584,36,0)</f>
        <v>ロ</v>
      </c>
    </row>
    <row r="412" spans="1:47" ht="105" customHeight="1">
      <c r="B412" s="143" t="s">
        <v>476</v>
      </c>
      <c r="C412" s="143" t="s">
        <v>550</v>
      </c>
      <c r="D412" s="143" t="s">
        <v>351</v>
      </c>
      <c r="E412">
        <f t="shared" si="33"/>
        <v>326</v>
      </c>
      <c r="F412" s="122">
        <v>11</v>
      </c>
      <c r="G412" s="123">
        <v>11</v>
      </c>
      <c r="H412" s="425">
        <v>2200958</v>
      </c>
      <c r="I412" s="424"/>
      <c r="J412" s="425" t="s">
        <v>1872</v>
      </c>
      <c r="K412" s="425" t="s">
        <v>1162</v>
      </c>
      <c r="L412" s="426" t="s">
        <v>1163</v>
      </c>
      <c r="M412" s="425" t="s">
        <v>1175</v>
      </c>
      <c r="N412" s="127" t="s">
        <v>138</v>
      </c>
      <c r="O412" s="453" t="s">
        <v>139</v>
      </c>
      <c r="P412" s="321" t="s">
        <v>122</v>
      </c>
      <c r="Q412" s="428" t="s">
        <v>1873</v>
      </c>
      <c r="R412" s="426" t="s">
        <v>1874</v>
      </c>
      <c r="S412" s="429" t="s">
        <v>1816</v>
      </c>
      <c r="T412" s="430">
        <v>40431</v>
      </c>
      <c r="U412" s="426" t="s">
        <v>1520</v>
      </c>
      <c r="V412" s="426" t="s">
        <v>1422</v>
      </c>
      <c r="W412" s="452" t="s">
        <v>1722</v>
      </c>
      <c r="X412" s="432">
        <v>4654030</v>
      </c>
      <c r="Y412" s="432">
        <v>4654030</v>
      </c>
      <c r="Z412" s="433">
        <f t="shared" si="36"/>
        <v>1</v>
      </c>
      <c r="AA412" s="439" t="s">
        <v>1445</v>
      </c>
      <c r="AB412" s="412"/>
      <c r="AC412" s="435" t="s">
        <v>1445</v>
      </c>
      <c r="AD412" s="123" t="s">
        <v>146</v>
      </c>
      <c r="AE412" s="138"/>
      <c r="AF412" s="125"/>
      <c r="AG412" s="436" t="s">
        <v>131</v>
      </c>
      <c r="AH412" s="437" t="s">
        <v>132</v>
      </c>
      <c r="AI412" s="177"/>
      <c r="AJ412" s="120"/>
      <c r="AK412" s="120" t="s">
        <v>1174</v>
      </c>
      <c r="AL412" s="232" t="str">
        <f>VLOOKUP(AK412,'[3]17見直し計画'!$A$50:$AJ$584,6,0)</f>
        <v>根室市役所（根室市長　藤原　弘）</v>
      </c>
      <c r="AM412" s="140" t="str">
        <f>VLOOKUP(AK412,'[3]17見直し計画'!$A$50:$AJ$584,8,0)</f>
        <v>北方四島住民支援（平成１７年度患者受入事業：第１回目）について</v>
      </c>
      <c r="AN412" s="180">
        <f>VLOOKUP(AK412,'[3]17見直し計画'!$A$50:$AJ$584,10,0)</f>
        <v>38520</v>
      </c>
      <c r="AO412" s="141">
        <f>VLOOKUP(AK412,'[3]17見直し計画'!$A$50:$AJ$584,11,0)</f>
        <v>3098667</v>
      </c>
      <c r="AP412" s="140" t="str">
        <f>VLOOKUP(AK412,'[3]17見直し計画'!$A$50:$AJ$584,12,0)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412" s="140" t="str">
        <f>VLOOKUP(AK412,'[3]17見直し計画'!$A$50:$AJ$584,13,0)</f>
        <v>その他のもの</v>
      </c>
      <c r="AR412" s="140" t="str">
        <f>VLOOKUP(AK412,'[3]17見直し計画'!$A$50:$AJ$584,14,0)</f>
        <v>随意契約によらざるを得ないもの</v>
      </c>
      <c r="AS412" s="140"/>
      <c r="AT412" s="140" t="str">
        <f>VLOOKUP(AK412,'[3]17見直し計画'!$A$50:$AJ$584,35,0)</f>
        <v>場所が限定される賃貸借その他業務</v>
      </c>
      <c r="AU412" s="140" t="str">
        <f>VLOOKUP(AK412,'[3]17見直し計画'!$A$50:$AJ$584,36,0)</f>
        <v>ロ</v>
      </c>
    </row>
    <row r="413" spans="1:47" ht="105" customHeight="1">
      <c r="B413" s="143" t="s">
        <v>476</v>
      </c>
      <c r="C413" s="143" t="s">
        <v>550</v>
      </c>
      <c r="D413" s="143" t="s">
        <v>351</v>
      </c>
      <c r="E413">
        <f t="shared" si="33"/>
        <v>327</v>
      </c>
      <c r="F413" s="471">
        <v>12</v>
      </c>
      <c r="G413" s="472">
        <v>12</v>
      </c>
      <c r="H413" s="473">
        <v>2200957</v>
      </c>
      <c r="I413" s="474"/>
      <c r="J413" s="473" t="s">
        <v>1867</v>
      </c>
      <c r="K413" s="473" t="s">
        <v>1162</v>
      </c>
      <c r="L413" s="475" t="s">
        <v>1163</v>
      </c>
      <c r="M413" s="473" t="s">
        <v>1175</v>
      </c>
      <c r="N413" s="127" t="s">
        <v>138</v>
      </c>
      <c r="O413" s="476" t="s">
        <v>139</v>
      </c>
      <c r="P413" s="477" t="s">
        <v>122</v>
      </c>
      <c r="Q413" s="478" t="s">
        <v>1875</v>
      </c>
      <c r="R413" s="475" t="s">
        <v>1869</v>
      </c>
      <c r="S413" s="479" t="s">
        <v>1816</v>
      </c>
      <c r="T413" s="480">
        <v>40431</v>
      </c>
      <c r="U413" s="475" t="s">
        <v>1426</v>
      </c>
      <c r="V413" s="475" t="s">
        <v>1604</v>
      </c>
      <c r="W413" s="481" t="s">
        <v>1871</v>
      </c>
      <c r="X413" s="482">
        <v>2595730</v>
      </c>
      <c r="Y413" s="482">
        <v>2595730</v>
      </c>
      <c r="Z413" s="433">
        <f t="shared" si="36"/>
        <v>1</v>
      </c>
      <c r="AA413" s="483" t="s">
        <v>1445</v>
      </c>
      <c r="AB413" s="484"/>
      <c r="AC413" s="485" t="s">
        <v>1445</v>
      </c>
      <c r="AD413" s="472" t="s">
        <v>146</v>
      </c>
      <c r="AE413" s="138"/>
      <c r="AF413" s="125"/>
      <c r="AG413" s="436" t="s">
        <v>131</v>
      </c>
      <c r="AH413" s="486" t="s">
        <v>132</v>
      </c>
      <c r="AJ413" s="120"/>
      <c r="AK413" s="120" t="s">
        <v>1429</v>
      </c>
      <c r="AL413" s="232" t="str">
        <f>VLOOKUP(AK413,'[3]17見直し計画'!$A$50:$AJ$584,6,0)</f>
        <v>市立根室病院（市立根室病院院長　羽根田　俊）</v>
      </c>
      <c r="AM413" s="140" t="str">
        <f>VLOOKUP(AK413,'[3]17見直し計画'!$A$50:$AJ$584,8,0)</f>
        <v>北方四島住民支援（平成１７年度患者受入事業：第１回目）について</v>
      </c>
      <c r="AN413" s="180">
        <f>VLOOKUP(AK413,'[3]17見直し計画'!$A$50:$AJ$584,10,0)</f>
        <v>38520</v>
      </c>
      <c r="AO413" s="141">
        <f>VLOOKUP(AK413,'[3]17見直し計画'!$A$50:$AJ$584,11,0)</f>
        <v>6763626</v>
      </c>
      <c r="AP413" s="140" t="str">
        <f>VLOOKUP(AK413,'[3]17見直し計画'!$A$50:$AJ$584,12,0)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413" s="140" t="str">
        <f>VLOOKUP(AK413,'[3]17見直し計画'!$A$50:$AJ$584,13,0)</f>
        <v>その他のもの</v>
      </c>
      <c r="AR413" s="140" t="str">
        <f>VLOOKUP(AK413,'[3]17見直し計画'!$A$50:$AJ$584,14,0)</f>
        <v>随意契約によらざるを得ないもの</v>
      </c>
      <c r="AS413" s="140"/>
      <c r="AT413" s="140" t="str">
        <f>VLOOKUP(AK413,'[3]17見直し計画'!$A$50:$AJ$584,35,0)</f>
        <v>場所が限定される賃貸借その他業務</v>
      </c>
      <c r="AU413" s="140" t="str">
        <f>VLOOKUP(AK413,'[3]17見直し計画'!$A$50:$AJ$584,36,0)</f>
        <v>ロ</v>
      </c>
    </row>
    <row r="414" spans="1:47" ht="105" hidden="1" customHeight="1">
      <c r="B414" s="126" t="s">
        <v>134</v>
      </c>
      <c r="C414" s="143" t="s">
        <v>135</v>
      </c>
      <c r="D414" s="143" t="s">
        <v>136</v>
      </c>
      <c r="E414">
        <f>SUM(E413+1)</f>
        <v>328</v>
      </c>
      <c r="F414" s="122">
        <v>13</v>
      </c>
      <c r="G414" s="123">
        <v>13</v>
      </c>
      <c r="H414" s="425">
        <v>2200903</v>
      </c>
      <c r="I414" s="424"/>
      <c r="J414" s="425" t="s">
        <v>1876</v>
      </c>
      <c r="K414" s="425" t="s">
        <v>195</v>
      </c>
      <c r="L414" s="426" t="s">
        <v>1182</v>
      </c>
      <c r="M414" s="425" t="s">
        <v>1183</v>
      </c>
      <c r="N414" s="127" t="s">
        <v>138</v>
      </c>
      <c r="O414" s="427" t="s">
        <v>139</v>
      </c>
      <c r="P414" s="321" t="s">
        <v>122</v>
      </c>
      <c r="Q414" s="428" t="s">
        <v>1877</v>
      </c>
      <c r="R414" s="426" t="s">
        <v>1878</v>
      </c>
      <c r="S414" s="429" t="s">
        <v>1816</v>
      </c>
      <c r="T414" s="430">
        <v>40431</v>
      </c>
      <c r="U414" s="426" t="s">
        <v>222</v>
      </c>
      <c r="V414" s="426" t="s">
        <v>223</v>
      </c>
      <c r="W414" s="452" t="s">
        <v>1695</v>
      </c>
      <c r="X414" s="432">
        <v>1359414</v>
      </c>
      <c r="Y414" s="432">
        <v>1359414</v>
      </c>
      <c r="Z414" s="433">
        <f t="shared" si="36"/>
        <v>1</v>
      </c>
      <c r="AA414" s="439" t="s">
        <v>1445</v>
      </c>
      <c r="AB414" s="412"/>
      <c r="AC414" s="435" t="s">
        <v>1445</v>
      </c>
      <c r="AD414" s="123" t="s">
        <v>146</v>
      </c>
      <c r="AE414" s="138"/>
      <c r="AF414" s="125"/>
      <c r="AG414" s="436" t="s">
        <v>131</v>
      </c>
      <c r="AH414" s="437" t="s">
        <v>132</v>
      </c>
      <c r="AJ414" s="120"/>
      <c r="AK414" s="120" t="s">
        <v>147</v>
      </c>
      <c r="AL414" s="232" t="str">
        <f>VLOOKUP(AK414,'[3]17見直し計画'!$A$50:$AJ$584,6,0)</f>
        <v>　見直し計画策定以降の新規案件</v>
      </c>
      <c r="AM414" s="140">
        <f>VLOOKUP(AK414,'[3]17見直し計画'!$A$50:$AJ$584,8,0)</f>
        <v>0</v>
      </c>
      <c r="AN414" s="180"/>
      <c r="AO414" s="141">
        <f>VLOOKUP(AK414,'[3]17見直し計画'!$A$50:$AJ$584,11,0)</f>
        <v>0</v>
      </c>
      <c r="AP414" s="140">
        <f>VLOOKUP(AK414,'[3]17見直し計画'!$A$50:$AJ$584,12,0)</f>
        <v>0</v>
      </c>
      <c r="AQ414" s="140">
        <f>VLOOKUP(AK414,'[3]17見直し計画'!$A$50:$AJ$584,13,0)</f>
        <v>0</v>
      </c>
      <c r="AR414" s="140">
        <f>VLOOKUP(AK414,'[3]17見直し計画'!$A$50:$AJ$584,14,0)</f>
        <v>0</v>
      </c>
      <c r="AS414" s="140"/>
      <c r="AT414" s="140">
        <f>VLOOKUP(AK414,'[3]17見直し計画'!$A$50:$AJ$584,35,0)</f>
        <v>0</v>
      </c>
      <c r="AU414" s="140">
        <f>VLOOKUP(AK414,'[3]17見直し計画'!$A$50:$AJ$584,36,0)</f>
        <v>0</v>
      </c>
    </row>
    <row r="415" spans="1:47" ht="105" hidden="1" customHeight="1">
      <c r="B415" s="126" t="s">
        <v>134</v>
      </c>
      <c r="C415" s="143" t="s">
        <v>135</v>
      </c>
      <c r="D415" s="143" t="s">
        <v>136</v>
      </c>
      <c r="E415">
        <f t="shared" si="33"/>
        <v>329</v>
      </c>
      <c r="F415" s="122">
        <v>14</v>
      </c>
      <c r="G415" s="123">
        <v>14</v>
      </c>
      <c r="H415" s="425">
        <v>2200904</v>
      </c>
      <c r="I415" s="424"/>
      <c r="J415" s="425" t="s">
        <v>1879</v>
      </c>
      <c r="K415" s="425" t="s">
        <v>195</v>
      </c>
      <c r="L415" s="426" t="s">
        <v>1182</v>
      </c>
      <c r="M415" s="425" t="s">
        <v>1183</v>
      </c>
      <c r="N415" s="127" t="s">
        <v>138</v>
      </c>
      <c r="O415" s="453" t="s">
        <v>139</v>
      </c>
      <c r="P415" s="321" t="s">
        <v>122</v>
      </c>
      <c r="Q415" s="428" t="s">
        <v>1880</v>
      </c>
      <c r="R415" s="426" t="s">
        <v>1881</v>
      </c>
      <c r="S415" s="429" t="s">
        <v>1816</v>
      </c>
      <c r="T415" s="430">
        <v>40431</v>
      </c>
      <c r="U415" s="426" t="s">
        <v>303</v>
      </c>
      <c r="V415" s="426" t="s">
        <v>304</v>
      </c>
      <c r="W415" s="452" t="s">
        <v>1695</v>
      </c>
      <c r="X415" s="432">
        <v>1258950</v>
      </c>
      <c r="Y415" s="432">
        <v>1258950</v>
      </c>
      <c r="Z415" s="433">
        <f t="shared" si="36"/>
        <v>1</v>
      </c>
      <c r="AA415" s="439" t="s">
        <v>1445</v>
      </c>
      <c r="AB415" s="412"/>
      <c r="AC415" s="435" t="s">
        <v>1445</v>
      </c>
      <c r="AD415" s="123" t="s">
        <v>146</v>
      </c>
      <c r="AE415" s="138"/>
      <c r="AF415" s="125"/>
      <c r="AG415" s="436" t="s">
        <v>131</v>
      </c>
      <c r="AH415" s="437" t="s">
        <v>132</v>
      </c>
      <c r="AJ415" s="120"/>
      <c r="AK415" s="120" t="s">
        <v>147</v>
      </c>
      <c r="AL415" s="232" t="str">
        <f>VLOOKUP(AK415,'[3]17見直し計画'!$A$50:$AJ$584,6,0)</f>
        <v>　見直し計画策定以降の新規案件</v>
      </c>
      <c r="AM415" s="140">
        <f>VLOOKUP(AK415,'[3]17見直し計画'!$A$50:$AJ$584,8,0)</f>
        <v>0</v>
      </c>
      <c r="AN415" s="180"/>
      <c r="AO415" s="141">
        <f>VLOOKUP(AK415,'[3]17見直し計画'!$A$50:$AJ$584,11,0)</f>
        <v>0</v>
      </c>
      <c r="AP415" s="140">
        <f>VLOOKUP(AK415,'[3]17見直し計画'!$A$50:$AJ$584,12,0)</f>
        <v>0</v>
      </c>
      <c r="AQ415" s="140">
        <f>VLOOKUP(AK415,'[3]17見直し計画'!$A$50:$AJ$584,13,0)</f>
        <v>0</v>
      </c>
      <c r="AR415" s="140">
        <f>VLOOKUP(AK415,'[3]17見直し計画'!$A$50:$AJ$584,14,0)</f>
        <v>0</v>
      </c>
      <c r="AS415" s="140"/>
      <c r="AT415" s="140">
        <f>VLOOKUP(AK415,'[3]17見直し計画'!$A$50:$AJ$584,35,0)</f>
        <v>0</v>
      </c>
      <c r="AU415" s="140">
        <f>VLOOKUP(AK415,'[3]17見直し計画'!$A$50:$AJ$584,36,0)</f>
        <v>0</v>
      </c>
    </row>
    <row r="416" spans="1:47" ht="105" hidden="1" customHeight="1">
      <c r="B416" s="152"/>
      <c r="C416" s="152"/>
      <c r="D416" s="153" t="s">
        <v>873</v>
      </c>
      <c r="E416">
        <f t="shared" si="33"/>
        <v>330</v>
      </c>
      <c r="F416" s="155">
        <v>15</v>
      </c>
      <c r="G416" s="156">
        <v>15</v>
      </c>
      <c r="H416" s="487">
        <v>2200945</v>
      </c>
      <c r="I416" s="488"/>
      <c r="J416" s="487" t="s">
        <v>1882</v>
      </c>
      <c r="K416" s="487" t="s">
        <v>661</v>
      </c>
      <c r="L416" s="489" t="s">
        <v>1190</v>
      </c>
      <c r="M416" s="487" t="s">
        <v>1448</v>
      </c>
      <c r="N416" s="160" t="s">
        <v>162</v>
      </c>
      <c r="O416" s="490" t="s">
        <v>121</v>
      </c>
      <c r="P416" s="337" t="s">
        <v>163</v>
      </c>
      <c r="Q416" s="491" t="s">
        <v>1883</v>
      </c>
      <c r="R416" s="489" t="s">
        <v>1884</v>
      </c>
      <c r="S416" s="492" t="s">
        <v>1816</v>
      </c>
      <c r="T416" s="493">
        <v>40434</v>
      </c>
      <c r="U416" s="489" t="s">
        <v>1093</v>
      </c>
      <c r="V416" s="489" t="s">
        <v>1094</v>
      </c>
      <c r="W416" s="494" t="s">
        <v>1885</v>
      </c>
      <c r="X416" s="495">
        <v>19788078</v>
      </c>
      <c r="Y416" s="495">
        <v>19788078</v>
      </c>
      <c r="Z416" s="496">
        <f t="shared" si="36"/>
        <v>1</v>
      </c>
      <c r="AA416" s="497">
        <v>0</v>
      </c>
      <c r="AB416" s="498"/>
      <c r="AC416" s="499" t="s">
        <v>1445</v>
      </c>
      <c r="AD416" s="156" t="s">
        <v>1542</v>
      </c>
      <c r="AE416" s="171"/>
      <c r="AF416" s="158"/>
      <c r="AG416" s="500" t="s">
        <v>131</v>
      </c>
      <c r="AH416" s="171" t="s">
        <v>132</v>
      </c>
      <c r="AI416" s="154"/>
      <c r="AJ416" s="152"/>
      <c r="AK416" s="152" t="s">
        <v>1474</v>
      </c>
      <c r="AL416" s="233" t="str">
        <f>VLOOKUP(AK416,'[3]17見直し計画'!$A$50:$AJ$584,6,0)</f>
        <v>独立行政法人　北方領土問題対策協会</v>
      </c>
      <c r="AM416" s="174" t="str">
        <f>VLOOKUP(AK416,'[3]17見直し計画'!$A$50:$AJ$584,8,0)</f>
        <v>北方四島住民招聘事業委嘱</v>
      </c>
      <c r="AN416" s="225" t="str">
        <f>VLOOKUP(AK416,'[3]17見直し計画'!$A$50:$AJ$584,10,0)</f>
        <v>平成17/10/07</v>
      </c>
      <c r="AO416" s="175">
        <f>VLOOKUP(AK416,'[3]17見直し計画'!$A$50:$AJ$584,11,0)</f>
        <v>37619978</v>
      </c>
      <c r="AP416" s="174" t="str">
        <f>VLOOKUP(AK416,'[3]17見直し計画'!$A$50:$AJ$584,12,0)</f>
        <v>　（独）北方領土問題対策協会（北対協）は、北方領土問題についての国民世論の啓発を行うこと等を目的として設置された組織である。北対協は、全国の各都道府県に設置されている「北方領土返還要求運動都道府県民会議」との組織的な連携を確保するとともに、返還要求運動に取り組む民間団体と緊密な連絡を図っている。当省から北対協に対して国民世論の啓発という側面も有している四島交流受入事業を委託することにより、長年にわたり世論啓発運動に従事し専門知識・ノウハウを有する北対協を通じて効果的な事業が実施できるのみならず、草の根レベルでの北方領土返還運動に従事する都道府県民会議を介する形で更に幅広い国民各層を対象とした啓発を行うことが可能となる。したがって、本事業については、当該団体と協力して実施することが政策上不可欠（会計法第29条の３第4項）</v>
      </c>
      <c r="AQ416" s="174" t="str">
        <f>VLOOKUP(AK416,'[3]17見直し計画'!$A$50:$AJ$584,13,0)</f>
        <v>その他のもの</v>
      </c>
      <c r="AR416" s="174" t="str">
        <f>VLOOKUP(AK416,'[3]17見直し計画'!$A$50:$AJ$584,14,0)</f>
        <v>ー
（随意契約によらざるを得ないもの）</v>
      </c>
      <c r="AS416" s="174"/>
      <c r="AT416" s="174">
        <f>VLOOKUP(AK416,'[3]17見直し計画'!$A$50:$AJ$584,35,0)</f>
        <v>0</v>
      </c>
      <c r="AU416" s="174">
        <f>VLOOKUP(AK416,'[3]17見直し計画'!$A$50:$AJ$584,36,0)</f>
        <v>0</v>
      </c>
    </row>
    <row r="417" spans="1:47" ht="105" hidden="1" customHeight="1">
      <c r="B417" s="126" t="s">
        <v>134</v>
      </c>
      <c r="C417" s="143" t="s">
        <v>135</v>
      </c>
      <c r="D417" s="143" t="s">
        <v>136</v>
      </c>
      <c r="E417">
        <f t="shared" si="33"/>
        <v>331</v>
      </c>
      <c r="F417" s="122">
        <v>16</v>
      </c>
      <c r="G417" s="123">
        <v>16</v>
      </c>
      <c r="H417" s="425">
        <v>2200921</v>
      </c>
      <c r="I417" s="424"/>
      <c r="J417" s="425" t="s">
        <v>1886</v>
      </c>
      <c r="K417" s="425" t="s">
        <v>195</v>
      </c>
      <c r="L417" s="426" t="s">
        <v>1182</v>
      </c>
      <c r="M417" s="425" t="s">
        <v>1183</v>
      </c>
      <c r="N417" s="127" t="s">
        <v>138</v>
      </c>
      <c r="O417" s="453" t="s">
        <v>139</v>
      </c>
      <c r="P417" s="321" t="s">
        <v>122</v>
      </c>
      <c r="Q417" s="428" t="s">
        <v>1887</v>
      </c>
      <c r="R417" s="426" t="s">
        <v>1888</v>
      </c>
      <c r="S417" s="429" t="s">
        <v>1816</v>
      </c>
      <c r="T417" s="430">
        <v>40434</v>
      </c>
      <c r="U417" s="426" t="s">
        <v>303</v>
      </c>
      <c r="V417" s="426" t="s">
        <v>304</v>
      </c>
      <c r="W417" s="452" t="s">
        <v>1695</v>
      </c>
      <c r="X417" s="432">
        <v>7509600</v>
      </c>
      <c r="Y417" s="432">
        <v>7509600</v>
      </c>
      <c r="Z417" s="433">
        <f t="shared" si="36"/>
        <v>1</v>
      </c>
      <c r="AA417" s="439" t="s">
        <v>1445</v>
      </c>
      <c r="AB417" s="412"/>
      <c r="AC417" s="435" t="s">
        <v>1445</v>
      </c>
      <c r="AD417" s="123" t="s">
        <v>146</v>
      </c>
      <c r="AE417" s="138"/>
      <c r="AF417" s="125"/>
      <c r="AG417" s="436" t="s">
        <v>131</v>
      </c>
      <c r="AH417" s="437" t="s">
        <v>132</v>
      </c>
      <c r="AJ417" s="120"/>
      <c r="AK417" s="120" t="s">
        <v>147</v>
      </c>
      <c r="AL417" s="232" t="str">
        <f>VLOOKUP(AK417,'[3]17見直し計画'!$A$50:$AJ$584,6,0)</f>
        <v>　見直し計画策定以降の新規案件</v>
      </c>
      <c r="AM417" s="140">
        <f>VLOOKUP(AK417,'[3]17見直し計画'!$A$50:$AJ$584,8,0)</f>
        <v>0</v>
      </c>
      <c r="AN417" s="180"/>
      <c r="AO417" s="141">
        <f>VLOOKUP(AK417,'[3]17見直し計画'!$A$50:$AJ$584,11,0)</f>
        <v>0</v>
      </c>
      <c r="AP417" s="140">
        <f>VLOOKUP(AK417,'[3]17見直し計画'!$A$50:$AJ$584,12,0)</f>
        <v>0</v>
      </c>
      <c r="AQ417" s="140">
        <f>VLOOKUP(AK417,'[3]17見直し計画'!$A$50:$AJ$584,13,0)</f>
        <v>0</v>
      </c>
      <c r="AR417" s="140">
        <f>VLOOKUP(AK417,'[3]17見直し計画'!$A$50:$AJ$584,14,0)</f>
        <v>0</v>
      </c>
      <c r="AS417" s="140"/>
      <c r="AT417" s="140">
        <f>VLOOKUP(AK417,'[3]17見直し計画'!$A$50:$AJ$584,35,0)</f>
        <v>0</v>
      </c>
      <c r="AU417" s="140">
        <f>VLOOKUP(AK417,'[3]17見直し計画'!$A$50:$AJ$584,36,0)</f>
        <v>0</v>
      </c>
    </row>
    <row r="418" spans="1:47" ht="105" hidden="1" customHeight="1">
      <c r="B418" s="126" t="s">
        <v>134</v>
      </c>
      <c r="C418" s="143" t="s">
        <v>135</v>
      </c>
      <c r="D418" s="143" t="s">
        <v>136</v>
      </c>
      <c r="E418">
        <f t="shared" si="33"/>
        <v>332</v>
      </c>
      <c r="F418" s="122">
        <v>17</v>
      </c>
      <c r="G418" s="123">
        <v>17</v>
      </c>
      <c r="H418" s="425">
        <v>2200908</v>
      </c>
      <c r="I418" s="424"/>
      <c r="J418" s="425" t="s">
        <v>1889</v>
      </c>
      <c r="K418" s="425" t="s">
        <v>195</v>
      </c>
      <c r="L418" s="426" t="s">
        <v>1182</v>
      </c>
      <c r="M418" s="425" t="s">
        <v>1183</v>
      </c>
      <c r="N418" s="127" t="s">
        <v>138</v>
      </c>
      <c r="O418" s="453" t="s">
        <v>139</v>
      </c>
      <c r="P418" s="321" t="s">
        <v>122</v>
      </c>
      <c r="Q418" s="428" t="s">
        <v>1890</v>
      </c>
      <c r="R418" s="426" t="s">
        <v>1891</v>
      </c>
      <c r="S418" s="429" t="s">
        <v>1816</v>
      </c>
      <c r="T418" s="430">
        <v>40434</v>
      </c>
      <c r="U418" s="426" t="s">
        <v>1892</v>
      </c>
      <c r="V418" s="426" t="s">
        <v>1769</v>
      </c>
      <c r="W418" s="452" t="s">
        <v>1695</v>
      </c>
      <c r="X418" s="432">
        <v>1312577</v>
      </c>
      <c r="Y418" s="432">
        <v>1312577</v>
      </c>
      <c r="Z418" s="433">
        <f t="shared" si="36"/>
        <v>1</v>
      </c>
      <c r="AA418" s="439" t="s">
        <v>1445</v>
      </c>
      <c r="AB418" s="412"/>
      <c r="AC418" s="435" t="s">
        <v>1445</v>
      </c>
      <c r="AD418" s="123" t="s">
        <v>146</v>
      </c>
      <c r="AE418" s="138"/>
      <c r="AF418" s="125"/>
      <c r="AG418" s="436" t="s">
        <v>131</v>
      </c>
      <c r="AH418" s="437" t="s">
        <v>132</v>
      </c>
      <c r="AJ418" s="120"/>
      <c r="AK418" s="120" t="s">
        <v>147</v>
      </c>
      <c r="AL418" s="232" t="str">
        <f>VLOOKUP(AK418,'[3]17見直し計画'!$A$50:$AJ$584,6,0)</f>
        <v>　見直し計画策定以降の新規案件</v>
      </c>
      <c r="AM418" s="140">
        <f>VLOOKUP(AK418,'[3]17見直し計画'!$A$50:$AJ$584,8,0)</f>
        <v>0</v>
      </c>
      <c r="AN418" s="180"/>
      <c r="AO418" s="141">
        <f>VLOOKUP(AK418,'[3]17見直し計画'!$A$50:$AJ$584,11,0)</f>
        <v>0</v>
      </c>
      <c r="AP418" s="140">
        <f>VLOOKUP(AK418,'[3]17見直し計画'!$A$50:$AJ$584,12,0)</f>
        <v>0</v>
      </c>
      <c r="AQ418" s="140">
        <f>VLOOKUP(AK418,'[3]17見直し計画'!$A$50:$AJ$584,13,0)</f>
        <v>0</v>
      </c>
      <c r="AR418" s="140">
        <f>VLOOKUP(AK418,'[3]17見直し計画'!$A$50:$AJ$584,14,0)</f>
        <v>0</v>
      </c>
      <c r="AS418" s="140"/>
      <c r="AT418" s="140">
        <f>VLOOKUP(AK418,'[3]17見直し計画'!$A$50:$AJ$584,35,0)</f>
        <v>0</v>
      </c>
      <c r="AU418" s="140">
        <f>VLOOKUP(AK418,'[3]17見直し計画'!$A$50:$AJ$584,36,0)</f>
        <v>0</v>
      </c>
    </row>
    <row r="419" spans="1:47" ht="105" hidden="1" customHeight="1">
      <c r="B419" s="501" t="s">
        <v>1142</v>
      </c>
      <c r="C419" s="502" t="s">
        <v>255</v>
      </c>
      <c r="D419" s="501" t="s">
        <v>256</v>
      </c>
      <c r="E419">
        <f t="shared" si="33"/>
        <v>333</v>
      </c>
      <c r="F419" s="122">
        <v>18</v>
      </c>
      <c r="G419" s="123">
        <v>18</v>
      </c>
      <c r="H419" s="425">
        <v>2200770</v>
      </c>
      <c r="I419" s="424"/>
      <c r="J419" s="425"/>
      <c r="K419" s="425" t="s">
        <v>393</v>
      </c>
      <c r="L419" s="426" t="s">
        <v>1163</v>
      </c>
      <c r="M419" s="425" t="s">
        <v>1175</v>
      </c>
      <c r="N419" s="126" t="s">
        <v>138</v>
      </c>
      <c r="O419" s="503" t="s">
        <v>139</v>
      </c>
      <c r="P419" s="321" t="s">
        <v>122</v>
      </c>
      <c r="Q419" s="428" t="s">
        <v>1893</v>
      </c>
      <c r="R419" s="426" t="s">
        <v>1894</v>
      </c>
      <c r="S419" s="429" t="s">
        <v>1816</v>
      </c>
      <c r="T419" s="430">
        <v>40435</v>
      </c>
      <c r="U419" s="426" t="s">
        <v>1895</v>
      </c>
      <c r="V419" s="426" t="s">
        <v>1896</v>
      </c>
      <c r="W419" s="452" t="s">
        <v>1897</v>
      </c>
      <c r="X419" s="432">
        <v>18804140</v>
      </c>
      <c r="Y419" s="432">
        <v>18804140</v>
      </c>
      <c r="Z419" s="433">
        <f t="shared" si="36"/>
        <v>1</v>
      </c>
      <c r="AA419" s="439" t="s">
        <v>1445</v>
      </c>
      <c r="AB419" s="412"/>
      <c r="AC419" s="435" t="s">
        <v>1445</v>
      </c>
      <c r="AD419" s="123" t="s">
        <v>146</v>
      </c>
      <c r="AE419" s="138"/>
      <c r="AF419" s="125"/>
      <c r="AG419" s="436" t="s">
        <v>131</v>
      </c>
      <c r="AH419" s="437" t="s">
        <v>132</v>
      </c>
      <c r="AJ419" s="120"/>
      <c r="AK419" s="120" t="s">
        <v>1898</v>
      </c>
      <c r="AL419" s="232" t="str">
        <f>VLOOKUP(AK419,'[3]17見直し計画'!$A$50:$AJ$584,6,0)</f>
        <v>（株）ケンウッド</v>
      </c>
      <c r="AM419" s="140" t="str">
        <f>VLOOKUP(AK419,'[3]17見直し計画'!$A$50:$AJ$584,8,0)</f>
        <v>在外公館用ＦＭ放送機等無線機の保守・運用指導（１７年度前期）</v>
      </c>
      <c r="AN419" s="180">
        <f>VLOOKUP(AK419,'[3]17見直し計画'!$A$50:$AJ$584,10,0)</f>
        <v>38576</v>
      </c>
      <c r="AO419" s="141">
        <f>VLOOKUP(AK419,'[3]17見直し計画'!$A$50:$AJ$584,11,0)</f>
        <v>40000280</v>
      </c>
      <c r="AP419" s="140" t="str">
        <f>VLOOKUP(AK419,'[3]17見直し計画'!$A$50:$AJ$584,12,0)</f>
        <v>毎年一般競争入札を行い導入してきた特注の無線機の保守・運用指導業務であるため、他の業者では行えない業務であり、他に競争を許さない（会計法第２９条の３第４項、特定政令に該当）。</v>
      </c>
      <c r="AQ419" s="140" t="str">
        <f>VLOOKUP(AK419,'[3]17見直し計画'!$A$50:$AJ$584,13,0)</f>
        <v>その他のもの</v>
      </c>
      <c r="AR419" s="140" t="str">
        <f>VLOOKUP(AK419,'[3]17見直し計画'!$A$50:$AJ$584,14,0)</f>
        <v>随意契約によらざるを得ないもの</v>
      </c>
      <c r="AS419" s="140"/>
      <c r="AT419" s="140" t="str">
        <f>VLOOKUP(AK419,'[3]17見直し計画'!$A$50:$AJ$584,35,0)</f>
        <v>行政目的を達成するために不可欠な業務を提供することが可能な者から提供を受けるもの</v>
      </c>
      <c r="AU419" s="140" t="str">
        <f>VLOOKUP(AK419,'[3]17見直し計画'!$A$50:$AJ$584,36,0)</f>
        <v>ニ（へ）に準ずる</v>
      </c>
    </row>
    <row r="420" spans="1:47" ht="105" hidden="1" customHeight="1">
      <c r="B420" s="126" t="s">
        <v>134</v>
      </c>
      <c r="C420" s="143" t="s">
        <v>135</v>
      </c>
      <c r="D420" s="143" t="s">
        <v>136</v>
      </c>
      <c r="E420">
        <f t="shared" si="33"/>
        <v>334</v>
      </c>
      <c r="F420" s="122">
        <v>19</v>
      </c>
      <c r="G420" s="123">
        <v>19</v>
      </c>
      <c r="H420" s="425">
        <v>2200948</v>
      </c>
      <c r="I420" s="424"/>
      <c r="J420" s="425" t="s">
        <v>1899</v>
      </c>
      <c r="K420" s="425" t="s">
        <v>1900</v>
      </c>
      <c r="L420" s="426" t="s">
        <v>1182</v>
      </c>
      <c r="M420" s="425" t="s">
        <v>1183</v>
      </c>
      <c r="N420" s="127" t="s">
        <v>138</v>
      </c>
      <c r="O420" s="427" t="s">
        <v>139</v>
      </c>
      <c r="P420" s="321" t="s">
        <v>122</v>
      </c>
      <c r="Q420" s="428" t="s">
        <v>1901</v>
      </c>
      <c r="R420" s="426" t="s">
        <v>1902</v>
      </c>
      <c r="S420" s="429" t="s">
        <v>1816</v>
      </c>
      <c r="T420" s="430">
        <v>40436</v>
      </c>
      <c r="U420" s="426" t="s">
        <v>222</v>
      </c>
      <c r="V420" s="426" t="s">
        <v>333</v>
      </c>
      <c r="W420" s="452" t="s">
        <v>1903</v>
      </c>
      <c r="X420" s="432">
        <v>4163302</v>
      </c>
      <c r="Y420" s="432">
        <v>4163302</v>
      </c>
      <c r="Z420" s="433">
        <f t="shared" si="36"/>
        <v>1</v>
      </c>
      <c r="AA420" s="439" t="s">
        <v>1445</v>
      </c>
      <c r="AB420" s="412"/>
      <c r="AC420" s="435" t="s">
        <v>1445</v>
      </c>
      <c r="AD420" s="123" t="s">
        <v>146</v>
      </c>
      <c r="AE420" s="138"/>
      <c r="AF420" s="125"/>
      <c r="AG420" s="436" t="s">
        <v>131</v>
      </c>
      <c r="AH420" s="437" t="s">
        <v>132</v>
      </c>
      <c r="AJ420" s="120"/>
      <c r="AK420" s="120" t="s">
        <v>147</v>
      </c>
      <c r="AL420" s="232" t="str">
        <f>VLOOKUP(AK420,'[3]17見直し計画'!$A$50:$AJ$584,6,0)</f>
        <v>　見直し計画策定以降の新規案件</v>
      </c>
      <c r="AM420" s="140">
        <f>VLOOKUP(AK420,'[3]17見直し計画'!$A$50:$AJ$584,8,0)</f>
        <v>0</v>
      </c>
      <c r="AN420" s="180"/>
      <c r="AO420" s="141">
        <f>VLOOKUP(AK420,'[3]17見直し計画'!$A$50:$AJ$584,11,0)</f>
        <v>0</v>
      </c>
      <c r="AP420" s="140">
        <f>VLOOKUP(AK420,'[3]17見直し計画'!$A$50:$AJ$584,12,0)</f>
        <v>0</v>
      </c>
      <c r="AQ420" s="140">
        <f>VLOOKUP(AK420,'[3]17見直し計画'!$A$50:$AJ$584,13,0)</f>
        <v>0</v>
      </c>
      <c r="AR420" s="140">
        <f>VLOOKUP(AK420,'[3]17見直し計画'!$A$50:$AJ$584,14,0)</f>
        <v>0</v>
      </c>
      <c r="AS420" s="140"/>
      <c r="AT420" s="140">
        <f>VLOOKUP(AK420,'[3]17見直し計画'!$A$50:$AJ$584,35,0)</f>
        <v>0</v>
      </c>
      <c r="AU420" s="140">
        <f>VLOOKUP(AK420,'[3]17見直し計画'!$A$50:$AJ$584,36,0)</f>
        <v>0</v>
      </c>
    </row>
    <row r="421" spans="1:47" ht="105" hidden="1" customHeight="1">
      <c r="A421" t="s">
        <v>148</v>
      </c>
      <c r="B421" s="291" t="s">
        <v>218</v>
      </c>
      <c r="C421" s="143" t="s">
        <v>135</v>
      </c>
      <c r="D421" s="143" t="s">
        <v>136</v>
      </c>
      <c r="E421">
        <f t="shared" si="33"/>
        <v>335</v>
      </c>
      <c r="F421" s="122">
        <v>20</v>
      </c>
      <c r="G421" s="123">
        <v>20</v>
      </c>
      <c r="H421" s="425">
        <v>2201052</v>
      </c>
      <c r="I421" s="424"/>
      <c r="J421" s="425" t="s">
        <v>1904</v>
      </c>
      <c r="K421" s="425" t="s">
        <v>501</v>
      </c>
      <c r="L421" s="426" t="s">
        <v>1202</v>
      </c>
      <c r="M421" s="425" t="s">
        <v>1461</v>
      </c>
      <c r="N421" s="127" t="s">
        <v>138</v>
      </c>
      <c r="O421" s="427" t="s">
        <v>139</v>
      </c>
      <c r="P421" s="321" t="s">
        <v>122</v>
      </c>
      <c r="Q421" s="428" t="s">
        <v>1905</v>
      </c>
      <c r="R421" s="426" t="s">
        <v>1906</v>
      </c>
      <c r="S421" s="429" t="s">
        <v>1816</v>
      </c>
      <c r="T421" s="430">
        <v>40437</v>
      </c>
      <c r="U421" s="426" t="s">
        <v>1907</v>
      </c>
      <c r="V421" s="426" t="s">
        <v>1908</v>
      </c>
      <c r="W421" s="452" t="s">
        <v>1909</v>
      </c>
      <c r="X421" s="432">
        <v>1391488</v>
      </c>
      <c r="Y421" s="504">
        <v>376327</v>
      </c>
      <c r="Z421" s="433">
        <f t="shared" si="36"/>
        <v>0.27</v>
      </c>
      <c r="AA421" s="439" t="s">
        <v>1445</v>
      </c>
      <c r="AB421" s="261" t="s">
        <v>1910</v>
      </c>
      <c r="AC421" s="435" t="s">
        <v>1445</v>
      </c>
      <c r="AD421" s="123" t="s">
        <v>146</v>
      </c>
      <c r="AE421" s="138"/>
      <c r="AF421" s="125"/>
      <c r="AG421" s="436" t="s">
        <v>131</v>
      </c>
      <c r="AH421" s="437" t="s">
        <v>132</v>
      </c>
      <c r="AJ421" s="120"/>
      <c r="AK421" s="120" t="s">
        <v>147</v>
      </c>
      <c r="AL421" s="232" t="str">
        <f>VLOOKUP(AK421,'[3]17見直し計画'!$A$50:$AJ$584,6,0)</f>
        <v>　見直し計画策定以降の新規案件</v>
      </c>
      <c r="AM421" s="140">
        <f>VLOOKUP(AK421,'[3]17見直し計画'!$A$50:$AJ$584,8,0)</f>
        <v>0</v>
      </c>
      <c r="AN421" s="180"/>
      <c r="AO421" s="141">
        <f>VLOOKUP(AK421,'[3]17見直し計画'!$A$50:$AJ$584,11,0)</f>
        <v>0</v>
      </c>
      <c r="AP421" s="140">
        <f>VLOOKUP(AK421,'[3]17見直し計画'!$A$50:$AJ$584,12,0)</f>
        <v>0</v>
      </c>
      <c r="AQ421" s="140">
        <f>VLOOKUP(AK421,'[3]17見直し計画'!$A$50:$AJ$584,13,0)</f>
        <v>0</v>
      </c>
      <c r="AR421" s="140">
        <f>VLOOKUP(AK421,'[3]17見直し計画'!$A$50:$AJ$584,14,0)</f>
        <v>0</v>
      </c>
      <c r="AS421" s="140"/>
      <c r="AT421" s="140">
        <f>VLOOKUP(AK421,'[3]17見直し計画'!$A$50:$AJ$584,35,0)</f>
        <v>0</v>
      </c>
      <c r="AU421" s="140">
        <f>VLOOKUP(AK421,'[3]17見直し計画'!$A$50:$AJ$584,36,0)</f>
        <v>0</v>
      </c>
    </row>
    <row r="422" spans="1:47" ht="105" hidden="1" customHeight="1">
      <c r="B422" s="126" t="s">
        <v>134</v>
      </c>
      <c r="C422" s="143" t="s">
        <v>135</v>
      </c>
      <c r="D422" s="143" t="s">
        <v>136</v>
      </c>
      <c r="E422">
        <f t="shared" si="33"/>
        <v>336</v>
      </c>
      <c r="F422" s="122">
        <v>21</v>
      </c>
      <c r="G422" s="123">
        <v>21</v>
      </c>
      <c r="H422" s="425">
        <v>2200950</v>
      </c>
      <c r="I422" s="424"/>
      <c r="J422" s="425" t="s">
        <v>1911</v>
      </c>
      <c r="K422" s="425" t="s">
        <v>195</v>
      </c>
      <c r="L422" s="426" t="s">
        <v>1182</v>
      </c>
      <c r="M422" s="425" t="s">
        <v>1183</v>
      </c>
      <c r="N422" s="127" t="s">
        <v>138</v>
      </c>
      <c r="O422" s="427" t="s">
        <v>139</v>
      </c>
      <c r="P422" s="321" t="s">
        <v>122</v>
      </c>
      <c r="Q422" s="428" t="s">
        <v>1912</v>
      </c>
      <c r="R422" s="426" t="s">
        <v>1913</v>
      </c>
      <c r="S422" s="429" t="s">
        <v>1816</v>
      </c>
      <c r="T422" s="430">
        <v>40437</v>
      </c>
      <c r="U422" s="426" t="s">
        <v>468</v>
      </c>
      <c r="V422" s="426" t="s">
        <v>469</v>
      </c>
      <c r="W422" s="452" t="s">
        <v>1914</v>
      </c>
      <c r="X422" s="432">
        <v>3073156</v>
      </c>
      <c r="Y422" s="432">
        <v>2750596</v>
      </c>
      <c r="Z422" s="433">
        <f t="shared" si="36"/>
        <v>0.89500000000000002</v>
      </c>
      <c r="AA422" s="434" t="s">
        <v>1445</v>
      </c>
      <c r="AB422" s="412"/>
      <c r="AC422" s="435" t="s">
        <v>1445</v>
      </c>
      <c r="AD422" s="123" t="s">
        <v>146</v>
      </c>
      <c r="AE422" s="138"/>
      <c r="AF422" s="125"/>
      <c r="AG422" s="436" t="s">
        <v>131</v>
      </c>
      <c r="AH422" s="437" t="s">
        <v>132</v>
      </c>
      <c r="AI422" s="177"/>
      <c r="AJ422" s="120"/>
      <c r="AK422" s="120" t="s">
        <v>147</v>
      </c>
      <c r="AL422" s="232" t="str">
        <f>VLOOKUP(AK422,'[3]17見直し計画'!$A$50:$AJ$584,6,0)</f>
        <v>　見直し計画策定以降の新規案件</v>
      </c>
      <c r="AM422" s="140">
        <f>VLOOKUP(AK422,'[3]17見直し計画'!$A$50:$AJ$584,8,0)</f>
        <v>0</v>
      </c>
      <c r="AN422" s="180"/>
      <c r="AO422" s="141">
        <f>VLOOKUP(AK422,'[3]17見直し計画'!$A$50:$AJ$584,11,0)</f>
        <v>0</v>
      </c>
      <c r="AP422" s="140">
        <f>VLOOKUP(AK422,'[3]17見直し計画'!$A$50:$AJ$584,12,0)</f>
        <v>0</v>
      </c>
      <c r="AQ422" s="140">
        <f>VLOOKUP(AK422,'[3]17見直し計画'!$A$50:$AJ$584,13,0)</f>
        <v>0</v>
      </c>
      <c r="AR422" s="140">
        <f>VLOOKUP(AK422,'[3]17見直し計画'!$A$50:$AJ$584,14,0)</f>
        <v>0</v>
      </c>
      <c r="AS422" s="140"/>
      <c r="AT422" s="140">
        <f>VLOOKUP(AK422,'[3]17見直し計画'!$A$50:$AJ$584,35,0)</f>
        <v>0</v>
      </c>
      <c r="AU422" s="140">
        <f>VLOOKUP(AK422,'[3]17見直し計画'!$A$50:$AJ$584,36,0)</f>
        <v>0</v>
      </c>
    </row>
    <row r="423" spans="1:47" ht="105" hidden="1" customHeight="1">
      <c r="B423" s="182"/>
      <c r="C423" s="182"/>
      <c r="D423" s="223" t="s">
        <v>752</v>
      </c>
      <c r="E423">
        <f t="shared" si="33"/>
        <v>337</v>
      </c>
      <c r="F423" s="505">
        <v>22</v>
      </c>
      <c r="G423" s="506">
        <v>22</v>
      </c>
      <c r="H423" s="507">
        <v>2200988</v>
      </c>
      <c r="I423" s="508"/>
      <c r="J423" s="507" t="s">
        <v>1915</v>
      </c>
      <c r="K423" s="507" t="s">
        <v>1162</v>
      </c>
      <c r="L423" s="509" t="s">
        <v>1163</v>
      </c>
      <c r="M423" s="507" t="s">
        <v>1175</v>
      </c>
      <c r="N423" s="190" t="s">
        <v>277</v>
      </c>
      <c r="O423" s="455" t="s">
        <v>121</v>
      </c>
      <c r="P423" s="328" t="s">
        <v>231</v>
      </c>
      <c r="Q423" s="510" t="s">
        <v>1916</v>
      </c>
      <c r="R423" s="509" t="s">
        <v>1917</v>
      </c>
      <c r="S423" s="511" t="s">
        <v>1816</v>
      </c>
      <c r="T423" s="512">
        <v>40442</v>
      </c>
      <c r="U423" s="509" t="s">
        <v>1198</v>
      </c>
      <c r="V423" s="509" t="s">
        <v>1199</v>
      </c>
      <c r="W423" s="513" t="s">
        <v>1643</v>
      </c>
      <c r="X423" s="514">
        <v>9000000</v>
      </c>
      <c r="Y423" s="514">
        <v>8999952</v>
      </c>
      <c r="Z423" s="448">
        <f t="shared" si="36"/>
        <v>0.999</v>
      </c>
      <c r="AA423" s="515">
        <v>3</v>
      </c>
      <c r="AB423" s="406"/>
      <c r="AC423" s="516">
        <v>2</v>
      </c>
      <c r="AD423" s="506" t="s">
        <v>1249</v>
      </c>
      <c r="AE423" s="201"/>
      <c r="AF423" s="188"/>
      <c r="AG423" s="451" t="s">
        <v>131</v>
      </c>
      <c r="AH423" s="517" t="s">
        <v>428</v>
      </c>
      <c r="AI423" s="184"/>
      <c r="AJ423" s="182"/>
      <c r="AK423" s="182" t="s">
        <v>1918</v>
      </c>
      <c r="AL423" s="231" t="str">
        <f>VLOOKUP(AK423,'[3]17見直し計画'!$A$50:$AJ$584,6,0)</f>
        <v>財団法人社会経済生産性本部</v>
      </c>
      <c r="AM423" s="204" t="str">
        <f>VLOOKUP(AK423,'[3]17見直し計画'!$A$50:$AJ$584,8,0)</f>
        <v>日本センターＯＪＴ研修「運輸・物流ＯＪＴ」実施委嘱</v>
      </c>
      <c r="AN423" s="224">
        <f>VLOOKUP(AK423,'[3]17見直し計画'!$A$50:$AJ$584,10,0)</f>
        <v>38649</v>
      </c>
      <c r="AO423" s="205">
        <f>VLOOKUP(AK423,'[3]17見直し計画'!$A$50:$AJ$584,11,0)</f>
        <v>12269891</v>
      </c>
      <c r="AP423" s="204" t="str">
        <f>VLOOKUP(AK423,'[3]17見直し計画'!$A$50:$AJ$584,12,0)</f>
        <v>公示の上、資料提供企画招請を行い、提出された企画書審査等を通じ企画内容・見積額等により判断し、同社が最も高い評価を得て確実な業務の履行が可能であると認められたもの（会計法第２９条の３第４項）</v>
      </c>
      <c r="AQ423" s="204" t="str">
        <f>VLOOKUP(AK423,'[3]17見直し計画'!$A$50:$AJ$584,13,0)</f>
        <v>見直しの余地があるもの</v>
      </c>
      <c r="AR423" s="204" t="str">
        <f>VLOOKUP(AK423,'[3]17見直し計画'!$A$50:$AJ$584,14,0)</f>
        <v>企画招請を実施（１８年度以降も引き続き実施）</v>
      </c>
      <c r="AS423" s="204"/>
      <c r="AT423" s="204">
        <f>VLOOKUP(AK423,'[3]17見直し計画'!$A$50:$AJ$584,35,0)</f>
        <v>0</v>
      </c>
      <c r="AU423" s="204">
        <f>VLOOKUP(AK423,'[3]17見直し計画'!$A$50:$AJ$584,36,0)</f>
        <v>0</v>
      </c>
    </row>
    <row r="424" spans="1:47" ht="105" customHeight="1">
      <c r="B424" s="143" t="s">
        <v>476</v>
      </c>
      <c r="C424" s="143" t="s">
        <v>550</v>
      </c>
      <c r="D424" s="143" t="s">
        <v>351</v>
      </c>
      <c r="E424">
        <f t="shared" si="33"/>
        <v>338</v>
      </c>
      <c r="F424" s="122">
        <v>23</v>
      </c>
      <c r="G424" s="123">
        <v>23</v>
      </c>
      <c r="H424" s="518">
        <v>2200990</v>
      </c>
      <c r="I424" s="519"/>
      <c r="J424" s="518" t="s">
        <v>1919</v>
      </c>
      <c r="K424" s="518" t="s">
        <v>1162</v>
      </c>
      <c r="L424" s="520" t="s">
        <v>1163</v>
      </c>
      <c r="M424" s="518" t="s">
        <v>1175</v>
      </c>
      <c r="N424" s="127" t="s">
        <v>138</v>
      </c>
      <c r="O424" s="427" t="s">
        <v>139</v>
      </c>
      <c r="P424" s="321" t="s">
        <v>122</v>
      </c>
      <c r="Q424" s="428" t="s">
        <v>1920</v>
      </c>
      <c r="R424" s="426" t="s">
        <v>1921</v>
      </c>
      <c r="S424" s="429" t="s">
        <v>1816</v>
      </c>
      <c r="T424" s="430">
        <v>40443</v>
      </c>
      <c r="U424" s="426" t="s">
        <v>1477</v>
      </c>
      <c r="V424" s="426" t="s">
        <v>1172</v>
      </c>
      <c r="W424" s="452" t="s">
        <v>1922</v>
      </c>
      <c r="X424" s="432">
        <v>1118512</v>
      </c>
      <c r="Y424" s="432">
        <v>1118512</v>
      </c>
      <c r="Z424" s="433">
        <f t="shared" si="36"/>
        <v>1</v>
      </c>
      <c r="AA424" s="439" t="s">
        <v>1445</v>
      </c>
      <c r="AB424" s="521"/>
      <c r="AC424" s="435" t="s">
        <v>1445</v>
      </c>
      <c r="AD424" s="123" t="s">
        <v>146</v>
      </c>
      <c r="AE424" s="138"/>
      <c r="AF424" s="125"/>
      <c r="AG424" s="436" t="s">
        <v>131</v>
      </c>
      <c r="AH424" s="437" t="s">
        <v>132</v>
      </c>
      <c r="AJ424" s="120"/>
      <c r="AK424" s="120" t="s">
        <v>147</v>
      </c>
      <c r="AL424" s="232" t="str">
        <f>VLOOKUP(AK424,'[3]17見直し計画'!$A$50:$AJ$584,6,0)</f>
        <v>　見直し計画策定以降の新規案件</v>
      </c>
      <c r="AM424" s="140">
        <f>VLOOKUP(AK424,'[3]17見直し計画'!$A$50:$AJ$584,8,0)</f>
        <v>0</v>
      </c>
      <c r="AN424" s="180"/>
      <c r="AO424" s="141">
        <f>VLOOKUP(AK424,'[3]17見直し計画'!$A$50:$AJ$584,11,0)</f>
        <v>0</v>
      </c>
      <c r="AP424" s="140">
        <f>VLOOKUP(AK424,'[3]17見直し計画'!$A$50:$AJ$584,12,0)</f>
        <v>0</v>
      </c>
      <c r="AQ424" s="140">
        <f>VLOOKUP(AK424,'[3]17見直し計画'!$A$50:$AJ$584,13,0)</f>
        <v>0</v>
      </c>
      <c r="AR424" s="140">
        <f>VLOOKUP(AK424,'[3]17見直し計画'!$A$50:$AJ$584,14,0)</f>
        <v>0</v>
      </c>
      <c r="AS424" s="140"/>
      <c r="AT424" s="140">
        <f>VLOOKUP(AK424,'[3]17見直し計画'!$A$50:$AJ$584,35,0)</f>
        <v>0</v>
      </c>
      <c r="AU424" s="140">
        <f>VLOOKUP(AK424,'[3]17見直し計画'!$A$50:$AJ$584,36,0)</f>
        <v>0</v>
      </c>
    </row>
    <row r="425" spans="1:47" ht="105" hidden="1" customHeight="1">
      <c r="A425" t="s">
        <v>148</v>
      </c>
      <c r="B425" s="291" t="s">
        <v>218</v>
      </c>
      <c r="C425" s="143" t="s">
        <v>135</v>
      </c>
      <c r="D425" s="143" t="s">
        <v>136</v>
      </c>
      <c r="E425">
        <f>SUM(E424+1)</f>
        <v>339</v>
      </c>
      <c r="F425" s="471">
        <v>24</v>
      </c>
      <c r="G425" s="472">
        <v>24</v>
      </c>
      <c r="H425" s="522">
        <v>2201059</v>
      </c>
      <c r="I425" s="523"/>
      <c r="J425" s="522" t="s">
        <v>1923</v>
      </c>
      <c r="K425" s="522" t="s">
        <v>501</v>
      </c>
      <c r="L425" s="524" t="s">
        <v>1202</v>
      </c>
      <c r="M425" s="522" t="s">
        <v>1655</v>
      </c>
      <c r="N425" s="127" t="s">
        <v>138</v>
      </c>
      <c r="O425" s="453" t="s">
        <v>139</v>
      </c>
      <c r="P425" s="477" t="s">
        <v>122</v>
      </c>
      <c r="Q425" s="478" t="s">
        <v>1924</v>
      </c>
      <c r="R425" s="475" t="s">
        <v>1925</v>
      </c>
      <c r="S425" s="479" t="s">
        <v>1816</v>
      </c>
      <c r="T425" s="480">
        <v>40445</v>
      </c>
      <c r="U425" s="475" t="s">
        <v>1926</v>
      </c>
      <c r="V425" s="475" t="s">
        <v>1927</v>
      </c>
      <c r="W425" s="481" t="s">
        <v>1928</v>
      </c>
      <c r="X425" s="482">
        <v>25580570</v>
      </c>
      <c r="Y425" s="482">
        <v>25580570</v>
      </c>
      <c r="Z425" s="433">
        <f t="shared" si="36"/>
        <v>1</v>
      </c>
      <c r="AA425" s="483" t="s">
        <v>1445</v>
      </c>
      <c r="AB425" s="525"/>
      <c r="AC425" s="485" t="s">
        <v>1445</v>
      </c>
      <c r="AD425" s="472" t="s">
        <v>146</v>
      </c>
      <c r="AE425" s="138"/>
      <c r="AF425" s="125"/>
      <c r="AG425" s="436" t="s">
        <v>131</v>
      </c>
      <c r="AH425" s="486" t="s">
        <v>132</v>
      </c>
      <c r="AJ425" s="120"/>
      <c r="AK425" s="120" t="s">
        <v>147</v>
      </c>
      <c r="AL425" s="232" t="str">
        <f>VLOOKUP(AK425,'[3]17見直し計画'!$A$50:$AJ$584,6,0)</f>
        <v>　見直し計画策定以降の新規案件</v>
      </c>
      <c r="AM425" s="140">
        <f>VLOOKUP(AK425,'[3]17見直し計画'!$A$50:$AJ$584,8,0)</f>
        <v>0</v>
      </c>
      <c r="AN425" s="180"/>
      <c r="AO425" s="141">
        <f>VLOOKUP(AK425,'[3]17見直し計画'!$A$50:$AJ$584,11,0)</f>
        <v>0</v>
      </c>
      <c r="AP425" s="140">
        <f>VLOOKUP(AK425,'[3]17見直し計画'!$A$50:$AJ$584,12,0)</f>
        <v>0</v>
      </c>
      <c r="AQ425" s="140">
        <f>VLOOKUP(AK425,'[3]17見直し計画'!$A$50:$AJ$584,13,0)</f>
        <v>0</v>
      </c>
      <c r="AR425" s="140">
        <f>VLOOKUP(AK425,'[3]17見直し計画'!$A$50:$AJ$584,14,0)</f>
        <v>0</v>
      </c>
      <c r="AS425" s="140"/>
      <c r="AT425" s="140">
        <f>VLOOKUP(AK425,'[3]17見直し計画'!$A$50:$AJ$584,35,0)</f>
        <v>0</v>
      </c>
      <c r="AU425" s="140">
        <f>VLOOKUP(AK425,'[3]17見直し計画'!$A$50:$AJ$584,36,0)</f>
        <v>0</v>
      </c>
    </row>
    <row r="426" spans="1:47" ht="105" hidden="1" customHeight="1">
      <c r="B426" s="126" t="s">
        <v>134</v>
      </c>
      <c r="C426" s="120" t="s">
        <v>135</v>
      </c>
      <c r="D426" s="143" t="s">
        <v>136</v>
      </c>
      <c r="E426">
        <f t="shared" ref="E426:E489" si="37">SUM(E425+1)</f>
        <v>340</v>
      </c>
      <c r="F426" s="122">
        <v>25</v>
      </c>
      <c r="G426" s="123">
        <v>25</v>
      </c>
      <c r="H426" s="425">
        <v>2200987</v>
      </c>
      <c r="I426" s="424"/>
      <c r="J426" s="425" t="s">
        <v>1929</v>
      </c>
      <c r="K426" s="425" t="s">
        <v>195</v>
      </c>
      <c r="L426" s="426" t="s">
        <v>1182</v>
      </c>
      <c r="M426" s="425" t="s">
        <v>1183</v>
      </c>
      <c r="N426" s="127" t="s">
        <v>138</v>
      </c>
      <c r="O426" s="453" t="s">
        <v>139</v>
      </c>
      <c r="P426" s="321" t="s">
        <v>122</v>
      </c>
      <c r="Q426" s="428" t="s">
        <v>1930</v>
      </c>
      <c r="R426" s="426" t="s">
        <v>1931</v>
      </c>
      <c r="S426" s="429" t="s">
        <v>1816</v>
      </c>
      <c r="T426" s="430">
        <v>40445</v>
      </c>
      <c r="U426" s="426" t="s">
        <v>222</v>
      </c>
      <c r="V426" s="426" t="s">
        <v>333</v>
      </c>
      <c r="W426" s="452" t="s">
        <v>1695</v>
      </c>
      <c r="X426" s="432">
        <v>8181120</v>
      </c>
      <c r="Y426" s="432">
        <v>8181120</v>
      </c>
      <c r="Z426" s="433">
        <f t="shared" si="36"/>
        <v>1</v>
      </c>
      <c r="AA426" s="439" t="s">
        <v>1445</v>
      </c>
      <c r="AB426" s="412"/>
      <c r="AC426" s="435" t="s">
        <v>1445</v>
      </c>
      <c r="AD426" s="123" t="s">
        <v>146</v>
      </c>
      <c r="AE426" s="138"/>
      <c r="AF426" s="125"/>
      <c r="AG426" s="436" t="s">
        <v>131</v>
      </c>
      <c r="AH426" s="437" t="s">
        <v>132</v>
      </c>
      <c r="AJ426" s="120"/>
      <c r="AK426" s="120" t="s">
        <v>147</v>
      </c>
      <c r="AL426" s="232" t="str">
        <f>VLOOKUP(AK426,'[3]17見直し計画'!$A$50:$AJ$584,6,0)</f>
        <v>　見直し計画策定以降の新規案件</v>
      </c>
      <c r="AM426" s="140">
        <f>VLOOKUP(AK426,'[3]17見直し計画'!$A$50:$AJ$584,8,0)</f>
        <v>0</v>
      </c>
      <c r="AN426" s="180"/>
      <c r="AO426" s="141">
        <f>VLOOKUP(AK426,'[3]17見直し計画'!$A$50:$AJ$584,11,0)</f>
        <v>0</v>
      </c>
      <c r="AP426" s="140">
        <f>VLOOKUP(AK426,'[3]17見直し計画'!$A$50:$AJ$584,12,0)</f>
        <v>0</v>
      </c>
      <c r="AQ426" s="140">
        <f>VLOOKUP(AK426,'[3]17見直し計画'!$A$50:$AJ$584,13,0)</f>
        <v>0</v>
      </c>
      <c r="AR426" s="140">
        <f>VLOOKUP(AK426,'[3]17見直し計画'!$A$50:$AJ$584,14,0)</f>
        <v>0</v>
      </c>
      <c r="AS426" s="140"/>
      <c r="AT426" s="140">
        <f>VLOOKUP(AK426,'[3]17見直し計画'!$A$50:$AJ$584,35,0)</f>
        <v>0</v>
      </c>
      <c r="AU426" s="140">
        <f>VLOOKUP(AK426,'[3]17見直し計画'!$A$50:$AJ$584,36,0)</f>
        <v>0</v>
      </c>
    </row>
    <row r="427" spans="1:47" ht="105" hidden="1" customHeight="1">
      <c r="B427" s="126" t="s">
        <v>149</v>
      </c>
      <c r="C427" s="120" t="s">
        <v>135</v>
      </c>
      <c r="D427" s="143" t="s">
        <v>136</v>
      </c>
      <c r="E427">
        <f t="shared" si="37"/>
        <v>341</v>
      </c>
      <c r="F427" s="122">
        <v>26</v>
      </c>
      <c r="G427" s="123">
        <v>26</v>
      </c>
      <c r="H427" s="425">
        <v>2200983</v>
      </c>
      <c r="I427" s="424"/>
      <c r="J427" s="425" t="s">
        <v>1932</v>
      </c>
      <c r="K427" s="425" t="s">
        <v>195</v>
      </c>
      <c r="L427" s="426" t="s">
        <v>1182</v>
      </c>
      <c r="M427" s="425" t="s">
        <v>1183</v>
      </c>
      <c r="N427" s="127" t="s">
        <v>138</v>
      </c>
      <c r="O427" s="453" t="s">
        <v>139</v>
      </c>
      <c r="P427" s="321" t="s">
        <v>122</v>
      </c>
      <c r="Q427" s="428" t="s">
        <v>1933</v>
      </c>
      <c r="R427" s="426" t="s">
        <v>1934</v>
      </c>
      <c r="S427" s="429" t="s">
        <v>1816</v>
      </c>
      <c r="T427" s="430">
        <v>40445</v>
      </c>
      <c r="U427" s="426" t="s">
        <v>269</v>
      </c>
      <c r="V427" s="426" t="s">
        <v>270</v>
      </c>
      <c r="W427" s="452" t="s">
        <v>1935</v>
      </c>
      <c r="X427" s="432">
        <v>8044155</v>
      </c>
      <c r="Y427" s="432">
        <v>8044155</v>
      </c>
      <c r="Z427" s="433">
        <f t="shared" si="36"/>
        <v>1</v>
      </c>
      <c r="AA427" s="439" t="s">
        <v>1445</v>
      </c>
      <c r="AB427" s="412"/>
      <c r="AC427" s="435" t="s">
        <v>1445</v>
      </c>
      <c r="AD427" s="123" t="s">
        <v>146</v>
      </c>
      <c r="AE427" s="138"/>
      <c r="AF427" s="125"/>
      <c r="AG427" s="436" t="s">
        <v>131</v>
      </c>
      <c r="AH427" s="437" t="s">
        <v>132</v>
      </c>
      <c r="AJ427" s="120"/>
      <c r="AK427" s="120" t="s">
        <v>147</v>
      </c>
      <c r="AL427" s="232" t="str">
        <f>VLOOKUP(AK427,'[3]17見直し計画'!$A$50:$AJ$584,6,0)</f>
        <v>　見直し計画策定以降の新規案件</v>
      </c>
      <c r="AM427" s="140">
        <f>VLOOKUP(AK427,'[3]17見直し計画'!$A$50:$AJ$584,8,0)</f>
        <v>0</v>
      </c>
      <c r="AN427" s="180"/>
      <c r="AO427" s="141">
        <f>VLOOKUP(AK427,'[3]17見直し計画'!$A$50:$AJ$584,11,0)</f>
        <v>0</v>
      </c>
      <c r="AP427" s="140">
        <f>VLOOKUP(AK427,'[3]17見直し計画'!$A$50:$AJ$584,12,0)</f>
        <v>0</v>
      </c>
      <c r="AQ427" s="140">
        <f>VLOOKUP(AK427,'[3]17見直し計画'!$A$50:$AJ$584,13,0)</f>
        <v>0</v>
      </c>
      <c r="AR427" s="140">
        <f>VLOOKUP(AK427,'[3]17見直し計画'!$A$50:$AJ$584,14,0)</f>
        <v>0</v>
      </c>
      <c r="AS427" s="140"/>
      <c r="AT427" s="140">
        <f>VLOOKUP(AK427,'[3]17見直し計画'!$A$50:$AJ$584,35,0)</f>
        <v>0</v>
      </c>
      <c r="AU427" s="140">
        <f>VLOOKUP(AK427,'[3]17見直し計画'!$A$50:$AJ$584,36,0)</f>
        <v>0</v>
      </c>
    </row>
    <row r="428" spans="1:47" ht="105" hidden="1" customHeight="1">
      <c r="B428" s="126" t="s">
        <v>284</v>
      </c>
      <c r="C428" s="120" t="s">
        <v>135</v>
      </c>
      <c r="D428" s="143" t="s">
        <v>136</v>
      </c>
      <c r="E428">
        <f t="shared" si="37"/>
        <v>342</v>
      </c>
      <c r="F428" s="122">
        <v>27</v>
      </c>
      <c r="G428" s="123">
        <v>27</v>
      </c>
      <c r="H428" s="425">
        <v>2200986</v>
      </c>
      <c r="I428" s="424"/>
      <c r="J428" s="425" t="s">
        <v>1936</v>
      </c>
      <c r="K428" s="425" t="s">
        <v>195</v>
      </c>
      <c r="L428" s="426" t="s">
        <v>1182</v>
      </c>
      <c r="M428" s="425" t="s">
        <v>1183</v>
      </c>
      <c r="N428" s="127" t="s">
        <v>138</v>
      </c>
      <c r="O428" s="453" t="s">
        <v>139</v>
      </c>
      <c r="P428" s="321" t="s">
        <v>122</v>
      </c>
      <c r="Q428" s="428" t="s">
        <v>1937</v>
      </c>
      <c r="R428" s="426" t="s">
        <v>1938</v>
      </c>
      <c r="S428" s="429" t="s">
        <v>1816</v>
      </c>
      <c r="T428" s="430">
        <v>40445</v>
      </c>
      <c r="U428" s="426" t="s">
        <v>222</v>
      </c>
      <c r="V428" s="426" t="s">
        <v>333</v>
      </c>
      <c r="W428" s="452" t="s">
        <v>1939</v>
      </c>
      <c r="X428" s="432">
        <v>3402000</v>
      </c>
      <c r="Y428" s="432">
        <v>3402000</v>
      </c>
      <c r="Z428" s="433">
        <f t="shared" si="36"/>
        <v>1</v>
      </c>
      <c r="AA428" s="439" t="s">
        <v>1445</v>
      </c>
      <c r="AB428" s="412"/>
      <c r="AC428" s="435" t="s">
        <v>1445</v>
      </c>
      <c r="AD428" s="123" t="s">
        <v>146</v>
      </c>
      <c r="AE428" s="138"/>
      <c r="AF428" s="125"/>
      <c r="AG428" s="436" t="s">
        <v>131</v>
      </c>
      <c r="AH428" s="437" t="s">
        <v>132</v>
      </c>
      <c r="AJ428" s="120"/>
      <c r="AK428" s="120" t="s">
        <v>147</v>
      </c>
      <c r="AL428" s="232" t="str">
        <f>VLOOKUP(AK428,'[3]17見直し計画'!$A$50:$AJ$584,6,0)</f>
        <v>　見直し計画策定以降の新規案件</v>
      </c>
      <c r="AM428" s="140">
        <f>VLOOKUP(AK428,'[3]17見直し計画'!$A$50:$AJ$584,8,0)</f>
        <v>0</v>
      </c>
      <c r="AN428" s="180"/>
      <c r="AO428" s="141">
        <f>VLOOKUP(AK428,'[3]17見直し計画'!$A$50:$AJ$584,11,0)</f>
        <v>0</v>
      </c>
      <c r="AP428" s="140">
        <f>VLOOKUP(AK428,'[3]17見直し計画'!$A$50:$AJ$584,12,0)</f>
        <v>0</v>
      </c>
      <c r="AQ428" s="140">
        <f>VLOOKUP(AK428,'[3]17見直し計画'!$A$50:$AJ$584,13,0)</f>
        <v>0</v>
      </c>
      <c r="AR428" s="140">
        <f>VLOOKUP(AK428,'[3]17見直し計画'!$A$50:$AJ$584,14,0)</f>
        <v>0</v>
      </c>
      <c r="AS428" s="140"/>
      <c r="AT428" s="140">
        <f>VLOOKUP(AK428,'[3]17見直し計画'!$A$50:$AJ$584,35,0)</f>
        <v>0</v>
      </c>
      <c r="AU428" s="140">
        <f>VLOOKUP(AK428,'[3]17見直し計画'!$A$50:$AJ$584,36,0)</f>
        <v>0</v>
      </c>
    </row>
    <row r="429" spans="1:47" ht="105" hidden="1" customHeight="1">
      <c r="B429" s="126" t="s">
        <v>284</v>
      </c>
      <c r="C429" s="120" t="s">
        <v>135</v>
      </c>
      <c r="D429" s="143" t="s">
        <v>136</v>
      </c>
      <c r="E429">
        <f t="shared" si="37"/>
        <v>343</v>
      </c>
      <c r="F429" s="122">
        <v>28</v>
      </c>
      <c r="G429" s="123">
        <v>28</v>
      </c>
      <c r="H429" s="425">
        <v>2200978</v>
      </c>
      <c r="I429" s="424"/>
      <c r="J429" s="425" t="s">
        <v>1940</v>
      </c>
      <c r="K429" s="425" t="s">
        <v>195</v>
      </c>
      <c r="L429" s="426" t="s">
        <v>1182</v>
      </c>
      <c r="M429" s="425" t="s">
        <v>1183</v>
      </c>
      <c r="N429" s="127" t="s">
        <v>138</v>
      </c>
      <c r="O429" s="526" t="s">
        <v>139</v>
      </c>
      <c r="P429" s="321" t="s">
        <v>122</v>
      </c>
      <c r="Q429" s="428" t="s">
        <v>1941</v>
      </c>
      <c r="R429" s="426" t="s">
        <v>1942</v>
      </c>
      <c r="S429" s="429" t="s">
        <v>1816</v>
      </c>
      <c r="T429" s="430">
        <v>40445</v>
      </c>
      <c r="U429" s="426" t="s">
        <v>303</v>
      </c>
      <c r="V429" s="426" t="s">
        <v>304</v>
      </c>
      <c r="W429" s="452" t="s">
        <v>1695</v>
      </c>
      <c r="X429" s="432">
        <v>2358930</v>
      </c>
      <c r="Y429" s="432">
        <v>2358930</v>
      </c>
      <c r="Z429" s="433">
        <f t="shared" si="36"/>
        <v>1</v>
      </c>
      <c r="AA429" s="434" t="s">
        <v>1445</v>
      </c>
      <c r="AB429" s="412"/>
      <c r="AC429" s="435" t="s">
        <v>1445</v>
      </c>
      <c r="AD429" s="123" t="s">
        <v>146</v>
      </c>
      <c r="AE429" s="138"/>
      <c r="AF429" s="125"/>
      <c r="AG429" s="436" t="s">
        <v>131</v>
      </c>
      <c r="AH429" s="437" t="s">
        <v>132</v>
      </c>
      <c r="AJ429" s="120"/>
      <c r="AK429" s="120" t="s">
        <v>147</v>
      </c>
      <c r="AL429" s="232" t="str">
        <f>VLOOKUP(AK429,'[3]17見直し計画'!$A$50:$AJ$584,6,0)</f>
        <v>　見直し計画策定以降の新規案件</v>
      </c>
      <c r="AM429" s="140">
        <f>VLOOKUP(AK429,'[3]17見直し計画'!$A$50:$AJ$584,8,0)</f>
        <v>0</v>
      </c>
      <c r="AN429" s="180"/>
      <c r="AO429" s="141">
        <f>VLOOKUP(AK429,'[3]17見直し計画'!$A$50:$AJ$584,11,0)</f>
        <v>0</v>
      </c>
      <c r="AP429" s="140">
        <f>VLOOKUP(AK429,'[3]17見直し計画'!$A$50:$AJ$584,12,0)</f>
        <v>0</v>
      </c>
      <c r="AQ429" s="140">
        <f>VLOOKUP(AK429,'[3]17見直し計画'!$A$50:$AJ$584,13,0)</f>
        <v>0</v>
      </c>
      <c r="AR429" s="140">
        <f>VLOOKUP(AK429,'[3]17見直し計画'!$A$50:$AJ$584,14,0)</f>
        <v>0</v>
      </c>
      <c r="AS429" s="140"/>
      <c r="AT429" s="140">
        <f>VLOOKUP(AK429,'[3]17見直し計画'!$A$50:$AJ$584,35,0)</f>
        <v>0</v>
      </c>
      <c r="AU429" s="140">
        <f>VLOOKUP(AK429,'[3]17見直し計画'!$A$50:$AJ$584,36,0)</f>
        <v>0</v>
      </c>
    </row>
    <row r="430" spans="1:47" ht="105" hidden="1" customHeight="1">
      <c r="B430" s="126" t="s">
        <v>134</v>
      </c>
      <c r="C430" s="120" t="s">
        <v>135</v>
      </c>
      <c r="D430" s="143" t="s">
        <v>136</v>
      </c>
      <c r="E430">
        <f t="shared" si="37"/>
        <v>344</v>
      </c>
      <c r="F430" s="122">
        <v>29</v>
      </c>
      <c r="G430" s="123">
        <v>29</v>
      </c>
      <c r="H430" s="425">
        <v>2200979</v>
      </c>
      <c r="I430" s="424"/>
      <c r="J430" s="425" t="s">
        <v>1943</v>
      </c>
      <c r="K430" s="425" t="s">
        <v>195</v>
      </c>
      <c r="L430" s="426" t="s">
        <v>1182</v>
      </c>
      <c r="M430" s="425" t="s">
        <v>1183</v>
      </c>
      <c r="N430" s="127" t="s">
        <v>138</v>
      </c>
      <c r="O430" s="453" t="s">
        <v>139</v>
      </c>
      <c r="P430" s="321" t="s">
        <v>122</v>
      </c>
      <c r="Q430" s="428" t="s">
        <v>1944</v>
      </c>
      <c r="R430" s="426" t="s">
        <v>1945</v>
      </c>
      <c r="S430" s="429" t="s">
        <v>1816</v>
      </c>
      <c r="T430" s="430">
        <v>40445</v>
      </c>
      <c r="U430" s="426" t="s">
        <v>468</v>
      </c>
      <c r="V430" s="426" t="s">
        <v>469</v>
      </c>
      <c r="W430" s="452" t="s">
        <v>1946</v>
      </c>
      <c r="X430" s="432">
        <v>2220648</v>
      </c>
      <c r="Y430" s="432">
        <v>2220648</v>
      </c>
      <c r="Z430" s="433">
        <f t="shared" si="36"/>
        <v>1</v>
      </c>
      <c r="AA430" s="434" t="s">
        <v>1445</v>
      </c>
      <c r="AB430" s="412"/>
      <c r="AC430" s="435" t="s">
        <v>1445</v>
      </c>
      <c r="AD430" s="123" t="s">
        <v>146</v>
      </c>
      <c r="AE430" s="138"/>
      <c r="AF430" s="125"/>
      <c r="AG430" s="436" t="s">
        <v>131</v>
      </c>
      <c r="AH430" s="437" t="s">
        <v>132</v>
      </c>
      <c r="AJ430" s="120"/>
      <c r="AK430" s="120" t="s">
        <v>147</v>
      </c>
      <c r="AL430" s="232" t="str">
        <f>VLOOKUP(AK430,'[3]17見直し計画'!$A$50:$AJ$584,6,0)</f>
        <v>　見直し計画策定以降の新規案件</v>
      </c>
      <c r="AM430" s="140">
        <f>VLOOKUP(AK430,'[3]17見直し計画'!$A$50:$AJ$584,8,0)</f>
        <v>0</v>
      </c>
      <c r="AN430" s="180"/>
      <c r="AO430" s="141">
        <f>VLOOKUP(AK430,'[3]17見直し計画'!$A$50:$AJ$584,11,0)</f>
        <v>0</v>
      </c>
      <c r="AP430" s="140">
        <f>VLOOKUP(AK430,'[3]17見直し計画'!$A$50:$AJ$584,12,0)</f>
        <v>0</v>
      </c>
      <c r="AQ430" s="140">
        <f>VLOOKUP(AK430,'[3]17見直し計画'!$A$50:$AJ$584,13,0)</f>
        <v>0</v>
      </c>
      <c r="AR430" s="140">
        <f>VLOOKUP(AK430,'[3]17見直し計画'!$A$50:$AJ$584,14,0)</f>
        <v>0</v>
      </c>
      <c r="AS430" s="140"/>
      <c r="AT430" s="140">
        <f>VLOOKUP(AK430,'[3]17見直し計画'!$A$50:$AJ$584,35,0)</f>
        <v>0</v>
      </c>
      <c r="AU430" s="140">
        <f>VLOOKUP(AK430,'[3]17見直し計画'!$A$50:$AJ$584,36,0)</f>
        <v>0</v>
      </c>
    </row>
    <row r="431" spans="1:47" ht="105" hidden="1" customHeight="1">
      <c r="B431" s="126" t="s">
        <v>134</v>
      </c>
      <c r="C431" s="120" t="s">
        <v>135</v>
      </c>
      <c r="D431" s="143" t="s">
        <v>136</v>
      </c>
      <c r="E431">
        <f t="shared" si="37"/>
        <v>345</v>
      </c>
      <c r="F431" s="122">
        <v>30</v>
      </c>
      <c r="G431" s="123">
        <v>30</v>
      </c>
      <c r="H431" s="425">
        <v>2200955</v>
      </c>
      <c r="I431" s="424"/>
      <c r="J431" s="425" t="s">
        <v>1947</v>
      </c>
      <c r="K431" s="425" t="s">
        <v>195</v>
      </c>
      <c r="L431" s="426" t="s">
        <v>1182</v>
      </c>
      <c r="M431" s="425" t="s">
        <v>1183</v>
      </c>
      <c r="N431" s="127" t="s">
        <v>138</v>
      </c>
      <c r="O431" s="453" t="s">
        <v>139</v>
      </c>
      <c r="P431" s="321" t="s">
        <v>122</v>
      </c>
      <c r="Q431" s="428" t="s">
        <v>1948</v>
      </c>
      <c r="R431" s="426" t="s">
        <v>1949</v>
      </c>
      <c r="S431" s="429" t="s">
        <v>1950</v>
      </c>
      <c r="T431" s="430">
        <v>40449</v>
      </c>
      <c r="U431" s="426" t="s">
        <v>269</v>
      </c>
      <c r="V431" s="426" t="s">
        <v>270</v>
      </c>
      <c r="W431" s="452" t="s">
        <v>1951</v>
      </c>
      <c r="X431" s="432">
        <v>21596484</v>
      </c>
      <c r="Y431" s="432">
        <v>21596484</v>
      </c>
      <c r="Z431" s="433">
        <f t="shared" si="36"/>
        <v>1</v>
      </c>
      <c r="AA431" s="434" t="s">
        <v>1445</v>
      </c>
      <c r="AB431" s="412"/>
      <c r="AC431" s="435" t="s">
        <v>1445</v>
      </c>
      <c r="AD431" s="123" t="s">
        <v>146</v>
      </c>
      <c r="AE431" s="138"/>
      <c r="AF431" s="125"/>
      <c r="AG431" s="436" t="s">
        <v>131</v>
      </c>
      <c r="AH431" s="437" t="s">
        <v>132</v>
      </c>
      <c r="AJ431" s="120"/>
      <c r="AK431" s="120" t="s">
        <v>147</v>
      </c>
      <c r="AL431" s="232" t="str">
        <f>VLOOKUP(AK431,'[3]17見直し計画'!$A$50:$AJ$584,6,0)</f>
        <v>　見直し計画策定以降の新規案件</v>
      </c>
      <c r="AM431" s="140">
        <f>VLOOKUP(AK431,'[3]17見直し計画'!$A$50:$AJ$584,8,0)</f>
        <v>0</v>
      </c>
      <c r="AN431" s="180"/>
      <c r="AO431" s="141">
        <f>VLOOKUP(AK431,'[3]17見直し計画'!$A$50:$AJ$584,11,0)</f>
        <v>0</v>
      </c>
      <c r="AP431" s="140">
        <f>VLOOKUP(AK431,'[3]17見直し計画'!$A$50:$AJ$584,12,0)</f>
        <v>0</v>
      </c>
      <c r="AQ431" s="140">
        <f>VLOOKUP(AK431,'[3]17見直し計画'!$A$50:$AJ$584,13,0)</f>
        <v>0</v>
      </c>
      <c r="AR431" s="140">
        <f>VLOOKUP(AK431,'[3]17見直し計画'!$A$50:$AJ$584,14,0)</f>
        <v>0</v>
      </c>
      <c r="AS431" s="140"/>
      <c r="AT431" s="140">
        <f>VLOOKUP(AK431,'[3]17見直し計画'!$A$50:$AJ$584,35,0)</f>
        <v>0</v>
      </c>
      <c r="AU431" s="140">
        <f>VLOOKUP(AK431,'[3]17見直し計画'!$A$50:$AJ$584,36,0)</f>
        <v>0</v>
      </c>
    </row>
    <row r="432" spans="1:47" ht="105" hidden="1" customHeight="1">
      <c r="B432" s="126" t="s">
        <v>335</v>
      </c>
      <c r="C432" s="120" t="s">
        <v>135</v>
      </c>
      <c r="D432" s="143" t="s">
        <v>136</v>
      </c>
      <c r="E432">
        <f t="shared" si="37"/>
        <v>346</v>
      </c>
      <c r="F432" s="122">
        <v>31</v>
      </c>
      <c r="G432" s="123">
        <v>31</v>
      </c>
      <c r="H432" s="425">
        <v>2200982</v>
      </c>
      <c r="I432" s="424"/>
      <c r="J432" s="425" t="s">
        <v>1952</v>
      </c>
      <c r="K432" s="425" t="s">
        <v>195</v>
      </c>
      <c r="L432" s="426" t="s">
        <v>1182</v>
      </c>
      <c r="M432" s="425" t="s">
        <v>1183</v>
      </c>
      <c r="N432" s="127" t="s">
        <v>138</v>
      </c>
      <c r="O432" s="453" t="s">
        <v>139</v>
      </c>
      <c r="P432" s="321" t="s">
        <v>122</v>
      </c>
      <c r="Q432" s="428" t="s">
        <v>1953</v>
      </c>
      <c r="R432" s="426" t="s">
        <v>1954</v>
      </c>
      <c r="S432" s="429" t="s">
        <v>1950</v>
      </c>
      <c r="T432" s="430">
        <v>40449</v>
      </c>
      <c r="U432" s="426" t="s">
        <v>1955</v>
      </c>
      <c r="V432" s="426" t="s">
        <v>500</v>
      </c>
      <c r="W432" s="452" t="s">
        <v>1956</v>
      </c>
      <c r="X432" s="432">
        <v>4820940</v>
      </c>
      <c r="Y432" s="432">
        <v>4820940</v>
      </c>
      <c r="Z432" s="433">
        <f t="shared" si="36"/>
        <v>1</v>
      </c>
      <c r="AA432" s="434" t="s">
        <v>1445</v>
      </c>
      <c r="AB432" s="412"/>
      <c r="AC432" s="435" t="s">
        <v>1445</v>
      </c>
      <c r="AD432" s="123" t="s">
        <v>146</v>
      </c>
      <c r="AE432" s="138"/>
      <c r="AF432" s="125"/>
      <c r="AG432" s="436" t="s">
        <v>131</v>
      </c>
      <c r="AH432" s="437" t="s">
        <v>132</v>
      </c>
      <c r="AI432" s="177"/>
      <c r="AJ432" s="179" t="s">
        <v>1957</v>
      </c>
      <c r="AK432" s="120" t="s">
        <v>147</v>
      </c>
      <c r="AL432" s="232" t="str">
        <f>VLOOKUP(AK432,'[3]17見直し計画'!$A$50:$AJ$584,6,0)</f>
        <v>　見直し計画策定以降の新規案件</v>
      </c>
      <c r="AM432" s="140">
        <f>VLOOKUP(AK432,'[3]17見直し計画'!$A$50:$AJ$584,8,0)</f>
        <v>0</v>
      </c>
      <c r="AN432" s="180"/>
      <c r="AO432" s="141">
        <f>VLOOKUP(AK432,'[3]17見直し計画'!$A$50:$AJ$584,11,0)</f>
        <v>0</v>
      </c>
      <c r="AP432" s="140">
        <f>VLOOKUP(AK432,'[3]17見直し計画'!$A$50:$AJ$584,12,0)</f>
        <v>0</v>
      </c>
      <c r="AQ432" s="140">
        <f>VLOOKUP(AK432,'[3]17見直し計画'!$A$50:$AJ$584,13,0)</f>
        <v>0</v>
      </c>
      <c r="AR432" s="140">
        <f>VLOOKUP(AK432,'[3]17見直し計画'!$A$50:$AJ$584,14,0)</f>
        <v>0</v>
      </c>
      <c r="AS432" s="140"/>
      <c r="AT432" s="140">
        <f>VLOOKUP(AK432,'[3]17見直し計画'!$A$50:$AJ$584,35,0)</f>
        <v>0</v>
      </c>
      <c r="AU432" s="140">
        <f>VLOOKUP(AK432,'[3]17見直し計画'!$A$50:$AJ$584,36,0)</f>
        <v>0</v>
      </c>
    </row>
    <row r="433" spans="1:47" ht="105" hidden="1" customHeight="1">
      <c r="B433" s="126" t="s">
        <v>213</v>
      </c>
      <c r="C433" s="120" t="s">
        <v>135</v>
      </c>
      <c r="D433" s="143" t="s">
        <v>136</v>
      </c>
      <c r="E433">
        <f t="shared" si="37"/>
        <v>347</v>
      </c>
      <c r="F433" s="122">
        <v>32</v>
      </c>
      <c r="G433" s="123">
        <v>32</v>
      </c>
      <c r="H433" s="425">
        <v>2200980</v>
      </c>
      <c r="I433" s="424"/>
      <c r="J433" s="425" t="s">
        <v>1958</v>
      </c>
      <c r="K433" s="425" t="s">
        <v>461</v>
      </c>
      <c r="L433" s="426" t="s">
        <v>1182</v>
      </c>
      <c r="M433" s="425" t="s">
        <v>1183</v>
      </c>
      <c r="N433" s="127" t="s">
        <v>186</v>
      </c>
      <c r="O433" s="453" t="s">
        <v>187</v>
      </c>
      <c r="P433" s="321" t="s">
        <v>122</v>
      </c>
      <c r="Q433" s="428" t="s">
        <v>1959</v>
      </c>
      <c r="R433" s="426" t="s">
        <v>1960</v>
      </c>
      <c r="S433" s="429" t="s">
        <v>1950</v>
      </c>
      <c r="T433" s="430">
        <v>40449</v>
      </c>
      <c r="U433" s="426" t="s">
        <v>1684</v>
      </c>
      <c r="V433" s="426" t="s">
        <v>1685</v>
      </c>
      <c r="W433" s="452" t="s">
        <v>1961</v>
      </c>
      <c r="X433" s="432">
        <v>3918600</v>
      </c>
      <c r="Y433" s="432">
        <v>3918600</v>
      </c>
      <c r="Z433" s="433">
        <f t="shared" si="36"/>
        <v>1</v>
      </c>
      <c r="AA433" s="434" t="s">
        <v>1445</v>
      </c>
      <c r="AB433" s="412"/>
      <c r="AC433" s="435" t="s">
        <v>1445</v>
      </c>
      <c r="AD433" s="123" t="s">
        <v>192</v>
      </c>
      <c r="AE433" s="138"/>
      <c r="AF433" s="125"/>
      <c r="AG433" s="436" t="s">
        <v>131</v>
      </c>
      <c r="AH433" s="437" t="s">
        <v>132</v>
      </c>
      <c r="AJ433" s="120"/>
      <c r="AK433" s="120" t="s">
        <v>147</v>
      </c>
      <c r="AL433" s="232" t="str">
        <f>VLOOKUP(AK433,'[3]17見直し計画'!$A$50:$AJ$584,6,0)</f>
        <v>　見直し計画策定以降の新規案件</v>
      </c>
      <c r="AM433" s="140">
        <f>VLOOKUP(AK433,'[3]17見直し計画'!$A$50:$AJ$584,8,0)</f>
        <v>0</v>
      </c>
      <c r="AN433" s="180"/>
      <c r="AO433" s="141">
        <f>VLOOKUP(AK433,'[3]17見直し計画'!$A$50:$AJ$584,11,0)</f>
        <v>0</v>
      </c>
      <c r="AP433" s="140">
        <f>VLOOKUP(AK433,'[3]17見直し計画'!$A$50:$AJ$584,12,0)</f>
        <v>0</v>
      </c>
      <c r="AQ433" s="140">
        <f>VLOOKUP(AK433,'[3]17見直し計画'!$A$50:$AJ$584,13,0)</f>
        <v>0</v>
      </c>
      <c r="AR433" s="140">
        <f>VLOOKUP(AK433,'[3]17見直し計画'!$A$50:$AJ$584,14,0)</f>
        <v>0</v>
      </c>
      <c r="AS433" s="140"/>
      <c r="AT433" s="140">
        <f>VLOOKUP(AK433,'[3]17見直し計画'!$A$50:$AJ$584,35,0)</f>
        <v>0</v>
      </c>
      <c r="AU433" s="140">
        <f>VLOOKUP(AK433,'[3]17見直し計画'!$A$50:$AJ$584,36,0)</f>
        <v>0</v>
      </c>
    </row>
    <row r="434" spans="1:47" ht="105" hidden="1" customHeight="1">
      <c r="B434" s="182"/>
      <c r="C434" s="182"/>
      <c r="D434" s="223" t="s">
        <v>421</v>
      </c>
      <c r="E434">
        <f t="shared" si="37"/>
        <v>348</v>
      </c>
      <c r="F434" s="185">
        <v>33</v>
      </c>
      <c r="G434" s="186">
        <v>33</v>
      </c>
      <c r="H434" s="440">
        <v>2201012</v>
      </c>
      <c r="I434" s="441"/>
      <c r="J434" s="440" t="s">
        <v>1962</v>
      </c>
      <c r="K434" s="440" t="s">
        <v>119</v>
      </c>
      <c r="L434" s="442" t="s">
        <v>1163</v>
      </c>
      <c r="M434" s="440" t="s">
        <v>1175</v>
      </c>
      <c r="N434" s="190" t="s">
        <v>230</v>
      </c>
      <c r="O434" s="443" t="s">
        <v>139</v>
      </c>
      <c r="P434" s="328" t="s">
        <v>231</v>
      </c>
      <c r="Q434" s="444" t="s">
        <v>1963</v>
      </c>
      <c r="R434" s="442" t="s">
        <v>1964</v>
      </c>
      <c r="S434" s="445" t="s">
        <v>1950</v>
      </c>
      <c r="T434" s="446">
        <v>40450</v>
      </c>
      <c r="U434" s="442" t="s">
        <v>1965</v>
      </c>
      <c r="V434" s="442" t="s">
        <v>1966</v>
      </c>
      <c r="W434" s="447" t="s">
        <v>1643</v>
      </c>
      <c r="X434" s="409">
        <v>1900000</v>
      </c>
      <c r="Y434" s="409">
        <v>1765037</v>
      </c>
      <c r="Z434" s="448">
        <f t="shared" si="36"/>
        <v>0.92800000000000005</v>
      </c>
      <c r="AA434" s="527" t="s">
        <v>1445</v>
      </c>
      <c r="AB434" s="406"/>
      <c r="AC434" s="450">
        <v>6</v>
      </c>
      <c r="AD434" s="186" t="s">
        <v>237</v>
      </c>
      <c r="AE434" s="201"/>
      <c r="AF434" s="188"/>
      <c r="AG434" s="451" t="s">
        <v>131</v>
      </c>
      <c r="AH434" s="201" t="s">
        <v>238</v>
      </c>
      <c r="AI434" s="184"/>
      <c r="AJ434" s="182"/>
      <c r="AK434" s="182" t="s">
        <v>147</v>
      </c>
      <c r="AL434" s="231" t="str">
        <f>VLOOKUP(AK434,'[3]17見直し計画'!$A$50:$AJ$584,6,0)</f>
        <v>　見直し計画策定以降の新規案件</v>
      </c>
      <c r="AM434" s="204">
        <f>VLOOKUP(AK434,'[3]17見直し計画'!$A$50:$AJ$584,8,0)</f>
        <v>0</v>
      </c>
      <c r="AN434" s="224"/>
      <c r="AO434" s="205">
        <f>VLOOKUP(AK434,'[3]17見直し計画'!$A$50:$AJ$584,11,0)</f>
        <v>0</v>
      </c>
      <c r="AP434" s="204">
        <f>VLOOKUP(AK434,'[3]17見直し計画'!$A$50:$AJ$584,12,0)</f>
        <v>0</v>
      </c>
      <c r="AQ434" s="204">
        <f>VLOOKUP(AK434,'[3]17見直し計画'!$A$50:$AJ$584,13,0)</f>
        <v>0</v>
      </c>
      <c r="AR434" s="204">
        <f>VLOOKUP(AK434,'[3]17見直し計画'!$A$50:$AJ$584,14,0)</f>
        <v>0</v>
      </c>
      <c r="AS434" s="204"/>
      <c r="AT434" s="204">
        <f>VLOOKUP(AK434,'[3]17見直し計画'!$A$50:$AJ$584,35,0)</f>
        <v>0</v>
      </c>
      <c r="AU434" s="204">
        <f>VLOOKUP(AK434,'[3]17見直し計画'!$A$50:$AJ$584,36,0)</f>
        <v>0</v>
      </c>
    </row>
    <row r="435" spans="1:47" ht="105" hidden="1" customHeight="1">
      <c r="A435" t="s">
        <v>148</v>
      </c>
      <c r="B435" s="291" t="s">
        <v>218</v>
      </c>
      <c r="C435" s="178" t="s">
        <v>135</v>
      </c>
      <c r="D435" s="143" t="s">
        <v>136</v>
      </c>
      <c r="E435">
        <f t="shared" si="37"/>
        <v>349</v>
      </c>
      <c r="F435" s="456">
        <v>34</v>
      </c>
      <c r="G435" s="457">
        <v>34</v>
      </c>
      <c r="H435" s="458">
        <v>2201062</v>
      </c>
      <c r="I435" s="459"/>
      <c r="J435" s="458" t="s">
        <v>1967</v>
      </c>
      <c r="K435" s="458" t="s">
        <v>195</v>
      </c>
      <c r="L435" s="460" t="s">
        <v>1202</v>
      </c>
      <c r="M435" s="458" t="s">
        <v>1461</v>
      </c>
      <c r="N435" s="127" t="s">
        <v>138</v>
      </c>
      <c r="O435" s="427" t="s">
        <v>139</v>
      </c>
      <c r="P435" s="461" t="s">
        <v>122</v>
      </c>
      <c r="Q435" s="462" t="s">
        <v>1968</v>
      </c>
      <c r="R435" s="460" t="s">
        <v>1969</v>
      </c>
      <c r="S435" s="463" t="s">
        <v>1950</v>
      </c>
      <c r="T435" s="464">
        <v>40451</v>
      </c>
      <c r="U435" s="460" t="s">
        <v>222</v>
      </c>
      <c r="V435" s="460" t="s">
        <v>333</v>
      </c>
      <c r="W435" s="465" t="s">
        <v>1970</v>
      </c>
      <c r="X435" s="466">
        <v>3790290</v>
      </c>
      <c r="Y435" s="466">
        <v>3790290</v>
      </c>
      <c r="Z435" s="433">
        <f t="shared" si="36"/>
        <v>1</v>
      </c>
      <c r="AA435" s="528" t="s">
        <v>1445</v>
      </c>
      <c r="AB435" s="412"/>
      <c r="AC435" s="469" t="s">
        <v>1445</v>
      </c>
      <c r="AD435" s="457" t="s">
        <v>146</v>
      </c>
      <c r="AE435" s="138"/>
      <c r="AF435" s="125"/>
      <c r="AG435" s="436" t="s">
        <v>131</v>
      </c>
      <c r="AH435" s="470" t="s">
        <v>132</v>
      </c>
      <c r="AJ435" s="120"/>
      <c r="AK435" s="120" t="s">
        <v>147</v>
      </c>
      <c r="AL435" s="232" t="str">
        <f>VLOOKUP(AK435,'[3]17見直し計画'!$A$50:$AJ$584,6,0)</f>
        <v>　見直し計画策定以降の新規案件</v>
      </c>
      <c r="AM435" s="140">
        <f>VLOOKUP(AK435,'[3]17見直し計画'!$A$50:$AJ$584,8,0)</f>
        <v>0</v>
      </c>
      <c r="AN435" s="180"/>
      <c r="AO435" s="141">
        <f>VLOOKUP(AK435,'[3]17見直し計画'!$A$50:$AJ$584,11,0)</f>
        <v>0</v>
      </c>
      <c r="AP435" s="140">
        <f>VLOOKUP(AK435,'[3]17見直し計画'!$A$50:$AJ$584,12,0)</f>
        <v>0</v>
      </c>
      <c r="AQ435" s="140">
        <f>VLOOKUP(AK435,'[3]17見直し計画'!$A$50:$AJ$584,13,0)</f>
        <v>0</v>
      </c>
      <c r="AR435" s="140">
        <f>VLOOKUP(AK435,'[3]17見直し計画'!$A$50:$AJ$584,14,0)</f>
        <v>0</v>
      </c>
      <c r="AS435" s="140"/>
      <c r="AT435" s="140">
        <f>VLOOKUP(AK435,'[3]17見直し計画'!$A$50:$AJ$584,35,0)</f>
        <v>0</v>
      </c>
      <c r="AU435" s="140">
        <f>VLOOKUP(AK435,'[3]17見直し計画'!$A$50:$AJ$584,36,0)</f>
        <v>0</v>
      </c>
    </row>
    <row r="436" spans="1:47" ht="105" hidden="1" customHeight="1">
      <c r="B436" s="126" t="s">
        <v>213</v>
      </c>
      <c r="C436" s="120" t="s">
        <v>135</v>
      </c>
      <c r="D436" s="143" t="s">
        <v>136</v>
      </c>
      <c r="E436">
        <f t="shared" si="37"/>
        <v>350</v>
      </c>
      <c r="F436" s="122">
        <v>35</v>
      </c>
      <c r="G436" s="123">
        <v>35</v>
      </c>
      <c r="H436" s="425">
        <v>2201061</v>
      </c>
      <c r="I436" s="424"/>
      <c r="J436" s="425" t="s">
        <v>1971</v>
      </c>
      <c r="K436" s="425" t="s">
        <v>195</v>
      </c>
      <c r="L436" s="426" t="s">
        <v>1202</v>
      </c>
      <c r="M436" s="425" t="s">
        <v>1461</v>
      </c>
      <c r="N436" s="127" t="s">
        <v>186</v>
      </c>
      <c r="O436" s="427" t="s">
        <v>187</v>
      </c>
      <c r="P436" s="321" t="s">
        <v>122</v>
      </c>
      <c r="Q436" s="428" t="s">
        <v>1972</v>
      </c>
      <c r="R436" s="426" t="s">
        <v>1973</v>
      </c>
      <c r="S436" s="429" t="s">
        <v>1950</v>
      </c>
      <c r="T436" s="430">
        <v>40451</v>
      </c>
      <c r="U436" s="426" t="s">
        <v>297</v>
      </c>
      <c r="V436" s="426" t="s">
        <v>1974</v>
      </c>
      <c r="W436" s="452" t="s">
        <v>1975</v>
      </c>
      <c r="X436" s="432">
        <v>1972574</v>
      </c>
      <c r="Y436" s="432">
        <v>1972574</v>
      </c>
      <c r="Z436" s="433">
        <f t="shared" si="36"/>
        <v>1</v>
      </c>
      <c r="AA436" s="434" t="s">
        <v>1445</v>
      </c>
      <c r="AB436" s="412"/>
      <c r="AC436" s="435" t="s">
        <v>1445</v>
      </c>
      <c r="AD436" s="123" t="s">
        <v>192</v>
      </c>
      <c r="AE436" s="138"/>
      <c r="AF436" s="125"/>
      <c r="AG436" s="436" t="s">
        <v>131</v>
      </c>
      <c r="AH436" s="437" t="s">
        <v>132</v>
      </c>
      <c r="AJ436" s="120"/>
      <c r="AK436" s="120" t="s">
        <v>147</v>
      </c>
      <c r="AL436" s="232" t="str">
        <f>VLOOKUP(AK436,'[3]17見直し計画'!$A$50:$AJ$584,6,0)</f>
        <v>　見直し計画策定以降の新規案件</v>
      </c>
      <c r="AM436" s="140">
        <f>VLOOKUP(AK436,'[3]17見直し計画'!$A$50:$AJ$584,8,0)</f>
        <v>0</v>
      </c>
      <c r="AN436" s="180"/>
      <c r="AO436" s="141">
        <f>VLOOKUP(AK436,'[3]17見直し計画'!$A$50:$AJ$584,11,0)</f>
        <v>0</v>
      </c>
      <c r="AP436" s="140">
        <f>VLOOKUP(AK436,'[3]17見直し計画'!$A$50:$AJ$584,12,0)</f>
        <v>0</v>
      </c>
      <c r="AQ436" s="140">
        <f>VLOOKUP(AK436,'[3]17見直し計画'!$A$50:$AJ$584,13,0)</f>
        <v>0</v>
      </c>
      <c r="AR436" s="140">
        <f>VLOOKUP(AK436,'[3]17見直し計画'!$A$50:$AJ$584,14,0)</f>
        <v>0</v>
      </c>
      <c r="AS436" s="140"/>
      <c r="AT436" s="140">
        <f>VLOOKUP(AK436,'[3]17見直し計画'!$A$50:$AJ$584,35,0)</f>
        <v>0</v>
      </c>
      <c r="AU436" s="140">
        <f>VLOOKUP(AK436,'[3]17見直し計画'!$A$50:$AJ$584,36,0)</f>
        <v>0</v>
      </c>
    </row>
    <row r="437" spans="1:47" ht="105" hidden="1" customHeight="1">
      <c r="A437" t="s">
        <v>148</v>
      </c>
      <c r="B437" s="291" t="s">
        <v>1680</v>
      </c>
      <c r="C437" s="178" t="s">
        <v>135</v>
      </c>
      <c r="D437" s="143" t="s">
        <v>136</v>
      </c>
      <c r="E437">
        <f t="shared" si="37"/>
        <v>351</v>
      </c>
      <c r="F437" s="471">
        <v>36</v>
      </c>
      <c r="G437" s="472">
        <v>1</v>
      </c>
      <c r="H437" s="529">
        <v>2201060</v>
      </c>
      <c r="I437" s="474"/>
      <c r="J437" s="529" t="s">
        <v>1976</v>
      </c>
      <c r="K437" s="529" t="s">
        <v>501</v>
      </c>
      <c r="L437" s="530" t="s">
        <v>1147</v>
      </c>
      <c r="M437" s="529" t="s">
        <v>1461</v>
      </c>
      <c r="N437" s="127" t="s">
        <v>1977</v>
      </c>
      <c r="O437" s="427" t="s">
        <v>187</v>
      </c>
      <c r="P437" s="477" t="s">
        <v>122</v>
      </c>
      <c r="Q437" s="478" t="s">
        <v>1978</v>
      </c>
      <c r="R437" s="531" t="s">
        <v>1979</v>
      </c>
      <c r="S437" s="479" t="s">
        <v>1950</v>
      </c>
      <c r="T437" s="532">
        <v>40451</v>
      </c>
      <c r="U437" s="531" t="s">
        <v>1980</v>
      </c>
      <c r="V437" s="531" t="s">
        <v>1981</v>
      </c>
      <c r="W437" s="533" t="s">
        <v>1982</v>
      </c>
      <c r="X437" s="534">
        <v>2635500</v>
      </c>
      <c r="Y437" s="535">
        <v>1185975</v>
      </c>
      <c r="Z437" s="433">
        <f t="shared" si="36"/>
        <v>0.45</v>
      </c>
      <c r="AA437" s="473" t="s">
        <v>1445</v>
      </c>
      <c r="AB437" s="261" t="s">
        <v>1983</v>
      </c>
      <c r="AC437" s="485" t="s">
        <v>1445</v>
      </c>
      <c r="AD437" s="536" t="s">
        <v>1984</v>
      </c>
      <c r="AE437" s="138"/>
      <c r="AF437" s="125"/>
      <c r="AG437" s="436" t="s">
        <v>1985</v>
      </c>
      <c r="AH437" s="486" t="s">
        <v>132</v>
      </c>
      <c r="AJ437" s="120"/>
      <c r="AK437" s="120" t="s">
        <v>147</v>
      </c>
      <c r="AL437" s="232" t="str">
        <f>VLOOKUP(AK437,'[3]17見直し計画'!$A$50:$AJ$584,6,0)</f>
        <v>　見直し計画策定以降の新規案件</v>
      </c>
      <c r="AM437" s="140">
        <f>VLOOKUP(AK437,'[3]17見直し計画'!$A$50:$AJ$584,8,0)</f>
        <v>0</v>
      </c>
      <c r="AN437" s="180"/>
      <c r="AO437" s="141">
        <f>VLOOKUP(AK437,'[3]17見直し計画'!$A$50:$AJ$584,11,0)</f>
        <v>0</v>
      </c>
      <c r="AP437" s="140">
        <f>VLOOKUP(AK437,'[3]17見直し計画'!$A$50:$AJ$584,12,0)</f>
        <v>0</v>
      </c>
      <c r="AQ437" s="140">
        <f>VLOOKUP(AK437,'[3]17見直し計画'!$A$50:$AJ$584,13,0)</f>
        <v>0</v>
      </c>
      <c r="AR437" s="140">
        <f>VLOOKUP(AK437,'[3]17見直し計画'!$A$50:$AJ$584,14,0)</f>
        <v>0</v>
      </c>
      <c r="AS437" s="140"/>
      <c r="AT437" s="140">
        <f>VLOOKUP(AK437,'[3]17見直し計画'!$A$50:$AJ$584,35,0)</f>
        <v>0</v>
      </c>
      <c r="AU437" s="140">
        <f>VLOOKUP(AK437,'[3]17見直し計画'!$A$50:$AJ$584,36,0)</f>
        <v>0</v>
      </c>
    </row>
    <row r="438" spans="1:47" ht="105" hidden="1" customHeight="1">
      <c r="B438" s="152"/>
      <c r="C438" s="152"/>
      <c r="D438" s="153" t="s">
        <v>421</v>
      </c>
      <c r="E438">
        <f t="shared" si="37"/>
        <v>352</v>
      </c>
      <c r="F438" s="155">
        <v>1</v>
      </c>
      <c r="G438" s="156">
        <v>1</v>
      </c>
      <c r="H438" s="537">
        <v>2201186</v>
      </c>
      <c r="I438" s="488"/>
      <c r="J438" s="537" t="s">
        <v>1986</v>
      </c>
      <c r="K438" s="537" t="s">
        <v>501</v>
      </c>
      <c r="L438" s="537" t="s">
        <v>1987</v>
      </c>
      <c r="M438" s="537" t="s">
        <v>1655</v>
      </c>
      <c r="N438" s="160" t="s">
        <v>1988</v>
      </c>
      <c r="O438" s="538" t="s">
        <v>355</v>
      </c>
      <c r="P438" s="337" t="s">
        <v>163</v>
      </c>
      <c r="Q438" s="491" t="s">
        <v>1989</v>
      </c>
      <c r="R438" s="489" t="s">
        <v>1990</v>
      </c>
      <c r="S438" s="492" t="s">
        <v>1816</v>
      </c>
      <c r="T438" s="539">
        <v>40456</v>
      </c>
      <c r="U438" s="489" t="s">
        <v>1991</v>
      </c>
      <c r="V438" s="489" t="s">
        <v>1992</v>
      </c>
      <c r="W438" s="489" t="s">
        <v>1993</v>
      </c>
      <c r="X438" s="540">
        <v>329616000</v>
      </c>
      <c r="Y438" s="541">
        <v>145024425</v>
      </c>
      <c r="Z438" s="496">
        <v>1</v>
      </c>
      <c r="AA438" s="497" t="s">
        <v>1445</v>
      </c>
      <c r="AB438" s="489" t="s">
        <v>1994</v>
      </c>
      <c r="AC438" s="542">
        <v>1</v>
      </c>
      <c r="AD438" s="156" t="s">
        <v>1995</v>
      </c>
      <c r="AE438" s="171"/>
      <c r="AF438" s="158"/>
      <c r="AG438" s="500" t="s">
        <v>1985</v>
      </c>
      <c r="AH438" s="171" t="str">
        <f>IF(AV438="-","0",IF(AV438="一者応札","1",IF(AV438=0,"0",IF(AV438=1,"1",IF(AV438=2,"2",IF(AV438=3,"3",IF(AV438&gt;3,"3","")))))))</f>
        <v>0</v>
      </c>
      <c r="AI438" s="154"/>
      <c r="AJ438" s="152"/>
      <c r="AK438" s="152" t="s">
        <v>147</v>
      </c>
      <c r="AL438" s="233" t="str">
        <f>VLOOKUP(AK438,'[3]17見直し計画'!$A$50:$AJ$584,6,0)</f>
        <v>　見直し計画策定以降の新規案件</v>
      </c>
      <c r="AM438" s="174">
        <f>VLOOKUP(AK438,'[3]17見直し計画'!$A$50:$AJ$584,8,0)</f>
        <v>0</v>
      </c>
      <c r="AN438" s="225"/>
      <c r="AO438" s="175">
        <f>VLOOKUP(AK438,'[3]17見直し計画'!$A$50:$AJ$584,11,0)</f>
        <v>0</v>
      </c>
      <c r="AP438" s="174">
        <f>VLOOKUP(AK438,'[3]17見直し計画'!$A$50:$AJ$584,12,0)</f>
        <v>0</v>
      </c>
      <c r="AQ438" s="174">
        <f>VLOOKUP(AK438,'[3]17見直し計画'!$A$50:$AJ$584,13,0)</f>
        <v>0</v>
      </c>
      <c r="AR438" s="174">
        <f>VLOOKUP(AK438,'[3]17見直し計画'!$A$50:$AJ$584,14,0)</f>
        <v>0</v>
      </c>
      <c r="AS438" s="174"/>
      <c r="AT438" s="174">
        <f>VLOOKUP(AK438,'[3]17見直し計画'!$A$50:$AJ$584,35,0)</f>
        <v>0</v>
      </c>
      <c r="AU438" s="174">
        <f>VLOOKUP(AK438,'[3]17見直し計画'!$A$50:$AJ$584,36,0)</f>
        <v>0</v>
      </c>
    </row>
    <row r="439" spans="1:47" ht="105" hidden="1" customHeight="1">
      <c r="A439" t="s">
        <v>148</v>
      </c>
      <c r="B439" s="291" t="s">
        <v>218</v>
      </c>
      <c r="C439" s="178" t="s">
        <v>135</v>
      </c>
      <c r="D439" s="143" t="s">
        <v>136</v>
      </c>
      <c r="E439">
        <f t="shared" si="37"/>
        <v>353</v>
      </c>
      <c r="F439" s="122">
        <v>2</v>
      </c>
      <c r="G439" s="123">
        <v>2</v>
      </c>
      <c r="H439" s="543">
        <v>2201219</v>
      </c>
      <c r="I439" s="424"/>
      <c r="J439" s="543" t="s">
        <v>1996</v>
      </c>
      <c r="K439" s="543" t="s">
        <v>501</v>
      </c>
      <c r="L439" s="543" t="s">
        <v>1147</v>
      </c>
      <c r="M439" s="543" t="s">
        <v>1655</v>
      </c>
      <c r="N439" s="127" t="s">
        <v>1997</v>
      </c>
      <c r="O439" s="544" t="s">
        <v>139</v>
      </c>
      <c r="P439" s="321" t="s">
        <v>122</v>
      </c>
      <c r="Q439" s="428" t="s">
        <v>1998</v>
      </c>
      <c r="R439" s="545" t="s">
        <v>1999</v>
      </c>
      <c r="S439" s="429" t="s">
        <v>1816</v>
      </c>
      <c r="T439" s="546">
        <v>40472</v>
      </c>
      <c r="U439" s="545" t="s">
        <v>2000</v>
      </c>
      <c r="V439" s="545" t="s">
        <v>2001</v>
      </c>
      <c r="W439" s="545" t="s">
        <v>2002</v>
      </c>
      <c r="X439" s="547">
        <v>2963100</v>
      </c>
      <c r="Y439" s="454">
        <v>1333395</v>
      </c>
      <c r="Z439" s="433">
        <v>1</v>
      </c>
      <c r="AA439" s="434" t="s">
        <v>1445</v>
      </c>
      <c r="AB439" s="545" t="s">
        <v>2003</v>
      </c>
      <c r="AC439" s="548" t="s">
        <v>2004</v>
      </c>
      <c r="AD439" s="123" t="s">
        <v>2005</v>
      </c>
      <c r="AE439" s="138"/>
      <c r="AF439" s="125"/>
      <c r="AG439" s="436" t="s">
        <v>1985</v>
      </c>
      <c r="AH439" s="437" t="str">
        <f>IF(AV439="-","0",IF(AV439="一者応札","1",IF(AV439=0,"0",IF(AV439=1,"1",IF(AV439=2,"2",IF(AV439=3,"3",IF(AV439&gt;3,"3","")))))))</f>
        <v>0</v>
      </c>
      <c r="AJ439" s="120"/>
      <c r="AK439" s="120" t="s">
        <v>147</v>
      </c>
      <c r="AL439" s="232" t="str">
        <f>VLOOKUP(AK439,'[3]17見直し計画'!$A$50:$AJ$584,6,0)</f>
        <v>　見直し計画策定以降の新規案件</v>
      </c>
      <c r="AM439" s="140">
        <f>VLOOKUP(AK439,'[3]17見直し計画'!$A$50:$AJ$584,8,0)</f>
        <v>0</v>
      </c>
      <c r="AN439" s="180"/>
      <c r="AO439" s="141">
        <f>VLOOKUP(AK439,'[3]17見直し計画'!$A$50:$AJ$584,11,0)</f>
        <v>0</v>
      </c>
      <c r="AP439" s="140">
        <f>VLOOKUP(AK439,'[3]17見直し計画'!$A$50:$AJ$584,12,0)</f>
        <v>0</v>
      </c>
      <c r="AQ439" s="140">
        <f>VLOOKUP(AK439,'[3]17見直し計画'!$A$50:$AJ$584,13,0)</f>
        <v>0</v>
      </c>
      <c r="AR439" s="140">
        <f>VLOOKUP(AK439,'[3]17見直し計画'!$A$50:$AJ$584,14,0)</f>
        <v>0</v>
      </c>
      <c r="AS439" s="140"/>
      <c r="AT439" s="140">
        <f>VLOOKUP(AK439,'[3]17見直し計画'!$A$50:$AJ$584,35,0)</f>
        <v>0</v>
      </c>
      <c r="AU439" s="140">
        <f>VLOOKUP(AK439,'[3]17見直し計画'!$A$50:$AJ$584,36,0)</f>
        <v>0</v>
      </c>
    </row>
    <row r="440" spans="1:47" ht="105" hidden="1" customHeight="1">
      <c r="B440" s="182"/>
      <c r="C440" s="182"/>
      <c r="D440" s="549" t="s">
        <v>2006</v>
      </c>
      <c r="E440">
        <f t="shared" si="37"/>
        <v>354</v>
      </c>
      <c r="F440" s="185">
        <v>3</v>
      </c>
      <c r="G440" s="186">
        <v>1</v>
      </c>
      <c r="H440" s="183">
        <v>2201009</v>
      </c>
      <c r="I440" s="441"/>
      <c r="J440" s="183" t="s">
        <v>2007</v>
      </c>
      <c r="K440" s="183" t="s">
        <v>276</v>
      </c>
      <c r="L440" s="183" t="s">
        <v>1190</v>
      </c>
      <c r="M440" s="183" t="s">
        <v>1191</v>
      </c>
      <c r="N440" s="190" t="s">
        <v>230</v>
      </c>
      <c r="O440" s="550" t="s">
        <v>139</v>
      </c>
      <c r="P440" s="328" t="s">
        <v>231</v>
      </c>
      <c r="Q440" s="444" t="s">
        <v>2008</v>
      </c>
      <c r="R440" s="442" t="s">
        <v>2009</v>
      </c>
      <c r="S440" s="445" t="s">
        <v>1816</v>
      </c>
      <c r="T440" s="551">
        <v>40455</v>
      </c>
      <c r="U440" s="442" t="s">
        <v>2010</v>
      </c>
      <c r="V440" s="442" t="s">
        <v>2011</v>
      </c>
      <c r="W440" s="552" t="s">
        <v>2012</v>
      </c>
      <c r="X440" s="409">
        <v>7981000</v>
      </c>
      <c r="Y440" s="409">
        <v>7948000</v>
      </c>
      <c r="Z440" s="448">
        <v>0.995</v>
      </c>
      <c r="AA440" s="527" t="s">
        <v>1445</v>
      </c>
      <c r="AB440" s="271"/>
      <c r="AC440" s="553">
        <v>5</v>
      </c>
      <c r="AD440" s="186" t="s">
        <v>237</v>
      </c>
      <c r="AE440" s="201"/>
      <c r="AF440" s="188"/>
      <c r="AG440" s="451" t="s">
        <v>131</v>
      </c>
      <c r="AH440" s="201" t="str">
        <f>IF(AV440="-","0",IF(AV440="一者応札","1",IF(AV440=0,"0",IF(AV440=1,"1",IF(AV440=2,"2",IF(AV440=3,"3",IF(AV440&gt;3,"3","")))))))</f>
        <v>0</v>
      </c>
      <c r="AI440" s="184"/>
      <c r="AJ440" s="182"/>
      <c r="AK440" s="182" t="s">
        <v>2013</v>
      </c>
      <c r="AL440" s="231" t="str">
        <f>VLOOKUP(AK440,'[3]17見直し計画'!$A$50:$AJ$584,6,0)</f>
        <v>コントロール・リスクス・グループ株式会社</v>
      </c>
      <c r="AM440" s="204" t="str">
        <f>VLOOKUP(AK440,'[3]17見直し計画'!$A$50:$AJ$584,8,0)</f>
        <v>「中南米地域における危機管理セミナー」開催事業委嘱</v>
      </c>
      <c r="AN440" s="224">
        <f>VLOOKUP(AK440,'[3]17見直し計画'!$A$50:$AJ$584,10,0)</f>
        <v>38600</v>
      </c>
      <c r="AO440" s="205">
        <f>VLOOKUP(AK440,'[3]17見直し計画'!$A$50:$AJ$584,11,0)</f>
        <v>7903000</v>
      </c>
      <c r="AP440" s="204" t="str">
        <f>VLOOKUP(AK440,'[3]17見直し計画'!$A$50:$AJ$584,12,0)</f>
        <v>契約目的を履行可能なノウハウを持ち、海外でのセミナー開催におけるロジ面でのサポートを受益可能な機関は契約相手先のみであり、他に競争を許さない（会計法第２９条の３第４項）。</v>
      </c>
      <c r="AQ440" s="204" t="str">
        <f>VLOOKUP(AK440,'[3]17見直し計画'!$A$50:$AJ$584,13,0)</f>
        <v>見直しの余地があるもの</v>
      </c>
      <c r="AR440" s="204" t="str">
        <f>VLOOKUP(AK440,'[3]17見直し計画'!$A$50:$AJ$584,14,0)</f>
        <v>企画招請を実施（１８年度から）</v>
      </c>
      <c r="AS440" s="204"/>
      <c r="AT440" s="204">
        <f>VLOOKUP(AK440,'[3]17見直し計画'!$A$50:$AJ$584,35,0)</f>
        <v>0</v>
      </c>
      <c r="AU440" s="204">
        <f>VLOOKUP(AK440,'[3]17見直し計画'!$A$50:$AJ$584,36,0)</f>
        <v>0</v>
      </c>
    </row>
    <row r="441" spans="1:47" ht="105" customHeight="1">
      <c r="B441" s="126" t="s">
        <v>1495</v>
      </c>
      <c r="C441" s="143" t="s">
        <v>550</v>
      </c>
      <c r="D441" s="143" t="s">
        <v>351</v>
      </c>
      <c r="E441">
        <f t="shared" si="37"/>
        <v>355</v>
      </c>
      <c r="F441" s="122">
        <v>4</v>
      </c>
      <c r="G441" s="123">
        <v>2</v>
      </c>
      <c r="H441" s="121">
        <v>2201010</v>
      </c>
      <c r="I441" s="424"/>
      <c r="J441" s="121" t="s">
        <v>2014</v>
      </c>
      <c r="K441" s="121" t="s">
        <v>1269</v>
      </c>
      <c r="L441" s="121" t="s">
        <v>1190</v>
      </c>
      <c r="M441" s="121" t="s">
        <v>1448</v>
      </c>
      <c r="N441" s="127" t="s">
        <v>138</v>
      </c>
      <c r="O441" s="544" t="s">
        <v>139</v>
      </c>
      <c r="P441" s="321" t="s">
        <v>122</v>
      </c>
      <c r="Q441" s="428" t="s">
        <v>2015</v>
      </c>
      <c r="R441" s="426" t="s">
        <v>2016</v>
      </c>
      <c r="S441" s="429" t="s">
        <v>1816</v>
      </c>
      <c r="T441" s="554">
        <v>40455</v>
      </c>
      <c r="U441" s="426" t="s">
        <v>1585</v>
      </c>
      <c r="V441" s="426" t="s">
        <v>1586</v>
      </c>
      <c r="W441" s="438" t="s">
        <v>2017</v>
      </c>
      <c r="X441" s="432">
        <v>1040800</v>
      </c>
      <c r="Y441" s="432">
        <v>1030080</v>
      </c>
      <c r="Z441" s="433">
        <v>0.98899999999999999</v>
      </c>
      <c r="AA441" s="439" t="s">
        <v>1445</v>
      </c>
      <c r="AB441" s="261"/>
      <c r="AC441" s="555" t="s">
        <v>2018</v>
      </c>
      <c r="AD441" s="123" t="s">
        <v>146</v>
      </c>
      <c r="AE441" s="138"/>
      <c r="AF441" s="125"/>
      <c r="AG441" s="436" t="s">
        <v>131</v>
      </c>
      <c r="AH441" s="437" t="str">
        <f t="shared" ref="AH441:AH475" si="38">IF(AV441="-","0",IF(AV441="一者応札","1",IF(AV441=0,"0",IF(AV441=1,"1",IF(AV441=2,"2",IF(AV441=3,"3",IF(AV441&gt;3,"3","")))))))</f>
        <v>0</v>
      </c>
      <c r="AJ441" s="120"/>
      <c r="AK441" s="120" t="s">
        <v>2019</v>
      </c>
      <c r="AL441" s="232" t="str">
        <f>VLOOKUP(AK441,'[3]17見直し計画'!$A$50:$AJ$584,6,0)</f>
        <v>株式会社中央公論新社</v>
      </c>
      <c r="AM441" s="140" t="str">
        <f>VLOOKUP(AK441,'[3]17見直し計画'!$A$50:$AJ$584,8,0)</f>
        <v>「中央公論」広告誌面買上契約</v>
      </c>
      <c r="AN441" s="180">
        <f>VLOOKUP(AK441,'[3]17見直し計画'!$A$50:$AJ$584,10,0)</f>
        <v>38443</v>
      </c>
      <c r="AO441" s="141">
        <f>VLOOKUP(AK441,'[3]17見直し計画'!$A$50:$AJ$584,11,0)</f>
        <v>4410000</v>
      </c>
      <c r="AP441" s="140" t="str">
        <f>VLOOKUP(AK441,'[3]17見直し計画'!$A$50:$AJ$584,12,0)</f>
        <v>契約目的に鑑み、本件契約相手先以外に履行可能な業者が無い（会計法第２９条の３第４項）。</v>
      </c>
      <c r="AQ441" s="140" t="str">
        <f>VLOOKUP(AK441,'[3]17見直し計画'!$A$50:$AJ$584,13,0)</f>
        <v>その他のもの</v>
      </c>
      <c r="AR441" s="140" t="str">
        <f>VLOOKUP(AK441,'[3]17見直し計画'!$A$50:$AJ$584,14,0)</f>
        <v>随意契約によらざるを得ないもの</v>
      </c>
      <c r="AS441" s="140"/>
      <c r="AT441" s="140" t="str">
        <f>VLOOKUP(AK441,'[3]17見直し計画'!$A$50:$AJ$584,35,0)</f>
        <v>（H20.01.26回答)
行政目的を達成するために不可欠な業務の提供を受けるもの</v>
      </c>
      <c r="AU441" s="140" t="str">
        <f>VLOOKUP(AK441,'[3]17見直し計画'!$A$50:$AJ$584,36,0)</f>
        <v>(H21.01.26回答）
ニ（ヘ）に準ずる</v>
      </c>
    </row>
    <row r="442" spans="1:47" ht="105" hidden="1" customHeight="1">
      <c r="B442" s="182"/>
      <c r="C442" s="182"/>
      <c r="D442" s="223" t="s">
        <v>421</v>
      </c>
      <c r="E442">
        <f>SUM(E441+1)</f>
        <v>356</v>
      </c>
      <c r="F442" s="185">
        <v>5</v>
      </c>
      <c r="G442" s="186">
        <v>3</v>
      </c>
      <c r="H442" s="183">
        <v>2201013</v>
      </c>
      <c r="I442" s="441"/>
      <c r="J442" s="183" t="s">
        <v>2020</v>
      </c>
      <c r="K442" s="183" t="s">
        <v>1085</v>
      </c>
      <c r="L442" s="183" t="s">
        <v>1163</v>
      </c>
      <c r="M442" s="183" t="s">
        <v>1175</v>
      </c>
      <c r="N442" s="190" t="s">
        <v>230</v>
      </c>
      <c r="O442" s="550" t="s">
        <v>139</v>
      </c>
      <c r="P442" s="328" t="s">
        <v>231</v>
      </c>
      <c r="Q442" s="444" t="s">
        <v>2021</v>
      </c>
      <c r="R442" s="442" t="s">
        <v>2022</v>
      </c>
      <c r="S442" s="445" t="s">
        <v>1816</v>
      </c>
      <c r="T442" s="551">
        <v>40456</v>
      </c>
      <c r="U442" s="442" t="s">
        <v>1304</v>
      </c>
      <c r="V442" s="442" t="s">
        <v>1305</v>
      </c>
      <c r="W442" s="447" t="s">
        <v>1643</v>
      </c>
      <c r="X442" s="409">
        <v>4870000</v>
      </c>
      <c r="Y442" s="409">
        <v>4864860</v>
      </c>
      <c r="Z442" s="448">
        <v>0.998</v>
      </c>
      <c r="AA442" s="449" t="s">
        <v>1445</v>
      </c>
      <c r="AB442" s="271"/>
      <c r="AC442" s="553">
        <v>1</v>
      </c>
      <c r="AD442" s="186" t="s">
        <v>631</v>
      </c>
      <c r="AE442" s="201"/>
      <c r="AF442" s="188"/>
      <c r="AG442" s="451" t="s">
        <v>131</v>
      </c>
      <c r="AH442" s="201" t="str">
        <f t="shared" si="38"/>
        <v>0</v>
      </c>
      <c r="AI442" s="184"/>
      <c r="AJ442" s="182"/>
      <c r="AK442" s="182" t="s">
        <v>147</v>
      </c>
      <c r="AL442" s="231" t="str">
        <f>VLOOKUP(AK442,'[3]17見直し計画'!$A$50:$AJ$584,6,0)</f>
        <v>　見直し計画策定以降の新規案件</v>
      </c>
      <c r="AM442" s="204">
        <f>VLOOKUP(AK442,'[3]17見直し計画'!$A$50:$AJ$584,8,0)</f>
        <v>0</v>
      </c>
      <c r="AN442" s="224"/>
      <c r="AO442" s="205">
        <f>VLOOKUP(AK442,'[3]17見直し計画'!$A$50:$AJ$584,11,0)</f>
        <v>0</v>
      </c>
      <c r="AP442" s="204">
        <f>VLOOKUP(AK442,'[3]17見直し計画'!$A$50:$AJ$584,12,0)</f>
        <v>0</v>
      </c>
      <c r="AQ442" s="204">
        <f>VLOOKUP(AK442,'[3]17見直し計画'!$A$50:$AJ$584,13,0)</f>
        <v>0</v>
      </c>
      <c r="AR442" s="204">
        <f>VLOOKUP(AK442,'[3]17見直し計画'!$A$50:$AJ$584,14,0)</f>
        <v>0</v>
      </c>
      <c r="AS442" s="204"/>
      <c r="AT442" s="204">
        <f>VLOOKUP(AK442,'[3]17見直し計画'!$A$50:$AJ$584,35,0)</f>
        <v>0</v>
      </c>
      <c r="AU442" s="204">
        <f>VLOOKUP(AK442,'[3]17見直し計画'!$A$50:$AJ$584,36,0)</f>
        <v>0</v>
      </c>
    </row>
    <row r="443" spans="1:47" ht="105" hidden="1" customHeight="1">
      <c r="B443" s="182"/>
      <c r="C443" s="182"/>
      <c r="D443" s="223" t="s">
        <v>421</v>
      </c>
      <c r="E443">
        <f t="shared" si="37"/>
        <v>357</v>
      </c>
      <c r="F443" s="185">
        <v>6</v>
      </c>
      <c r="G443" s="186">
        <v>4</v>
      </c>
      <c r="H443" s="183">
        <v>2201070</v>
      </c>
      <c r="I443" s="441"/>
      <c r="J443" s="183" t="s">
        <v>2023</v>
      </c>
      <c r="K443" s="183" t="s">
        <v>1162</v>
      </c>
      <c r="L443" s="183" t="s">
        <v>1163</v>
      </c>
      <c r="M443" s="183" t="s">
        <v>1175</v>
      </c>
      <c r="N443" s="190" t="s">
        <v>230</v>
      </c>
      <c r="O443" s="550" t="s">
        <v>139</v>
      </c>
      <c r="P443" s="328" t="s">
        <v>231</v>
      </c>
      <c r="Q443" s="444" t="s">
        <v>2024</v>
      </c>
      <c r="R443" s="442" t="s">
        <v>2025</v>
      </c>
      <c r="S443" s="445" t="s">
        <v>1816</v>
      </c>
      <c r="T443" s="551">
        <v>40457</v>
      </c>
      <c r="U443" s="442" t="s">
        <v>1525</v>
      </c>
      <c r="V443" s="442" t="s">
        <v>1526</v>
      </c>
      <c r="W443" s="447" t="s">
        <v>1643</v>
      </c>
      <c r="X443" s="409">
        <v>13000000</v>
      </c>
      <c r="Y443" s="409">
        <v>12860329</v>
      </c>
      <c r="Z443" s="448">
        <v>0.98899999999999999</v>
      </c>
      <c r="AA443" s="449" t="s">
        <v>1445</v>
      </c>
      <c r="AB443" s="271"/>
      <c r="AC443" s="553">
        <v>1</v>
      </c>
      <c r="AD443" s="186" t="s">
        <v>631</v>
      </c>
      <c r="AE443" s="201"/>
      <c r="AF443" s="188"/>
      <c r="AG443" s="451" t="s">
        <v>131</v>
      </c>
      <c r="AH443" s="201" t="str">
        <f t="shared" si="38"/>
        <v>0</v>
      </c>
      <c r="AI443" s="184"/>
      <c r="AJ443" s="182"/>
      <c r="AK443" s="182" t="s">
        <v>147</v>
      </c>
      <c r="AL443" s="231" t="str">
        <f>VLOOKUP(AK443,'[3]17見直し計画'!$A$50:$AJ$584,6,0)</f>
        <v>　見直し計画策定以降の新規案件</v>
      </c>
      <c r="AM443" s="204">
        <f>VLOOKUP(AK443,'[3]17見直し計画'!$A$50:$AJ$584,8,0)</f>
        <v>0</v>
      </c>
      <c r="AN443" s="224"/>
      <c r="AO443" s="205">
        <f>VLOOKUP(AK443,'[3]17見直し計画'!$A$50:$AJ$584,11,0)</f>
        <v>0</v>
      </c>
      <c r="AP443" s="204">
        <f>VLOOKUP(AK443,'[3]17見直し計画'!$A$50:$AJ$584,12,0)</f>
        <v>0</v>
      </c>
      <c r="AQ443" s="204">
        <f>VLOOKUP(AK443,'[3]17見直し計画'!$A$50:$AJ$584,13,0)</f>
        <v>0</v>
      </c>
      <c r="AR443" s="204">
        <f>VLOOKUP(AK443,'[3]17見直し計画'!$A$50:$AJ$584,14,0)</f>
        <v>0</v>
      </c>
      <c r="AS443" s="204"/>
      <c r="AT443" s="204">
        <f>VLOOKUP(AK443,'[3]17見直し計画'!$A$50:$AJ$584,35,0)</f>
        <v>0</v>
      </c>
      <c r="AU443" s="204">
        <f>VLOOKUP(AK443,'[3]17見直し計画'!$A$50:$AJ$584,36,0)</f>
        <v>0</v>
      </c>
    </row>
    <row r="444" spans="1:47" ht="105" hidden="1" customHeight="1">
      <c r="A444" t="s">
        <v>148</v>
      </c>
      <c r="B444" s="291" t="s">
        <v>218</v>
      </c>
      <c r="C444" s="178" t="s">
        <v>135</v>
      </c>
      <c r="D444" s="178" t="s">
        <v>136</v>
      </c>
      <c r="E444">
        <f t="shared" si="37"/>
        <v>358</v>
      </c>
      <c r="F444" s="122">
        <v>7</v>
      </c>
      <c r="G444" s="123">
        <v>5</v>
      </c>
      <c r="H444" s="121">
        <v>2201201</v>
      </c>
      <c r="I444" s="424"/>
      <c r="J444" s="121" t="s">
        <v>2026</v>
      </c>
      <c r="K444" s="121" t="s">
        <v>195</v>
      </c>
      <c r="L444" s="121" t="s">
        <v>1987</v>
      </c>
      <c r="M444" s="121" t="s">
        <v>1655</v>
      </c>
      <c r="N444" s="127" t="s">
        <v>138</v>
      </c>
      <c r="O444" s="544" t="s">
        <v>139</v>
      </c>
      <c r="P444" s="321" t="s">
        <v>122</v>
      </c>
      <c r="Q444" s="428" t="s">
        <v>2027</v>
      </c>
      <c r="R444" s="426" t="s">
        <v>2028</v>
      </c>
      <c r="S444" s="429" t="s">
        <v>1816</v>
      </c>
      <c r="T444" s="554">
        <v>40457</v>
      </c>
      <c r="U444" s="426" t="s">
        <v>468</v>
      </c>
      <c r="V444" s="426" t="s">
        <v>469</v>
      </c>
      <c r="W444" s="452" t="s">
        <v>2029</v>
      </c>
      <c r="X444" s="432">
        <v>2927310</v>
      </c>
      <c r="Y444" s="432">
        <v>2927310</v>
      </c>
      <c r="Z444" s="433">
        <v>1</v>
      </c>
      <c r="AA444" s="439" t="s">
        <v>1445</v>
      </c>
      <c r="AB444" s="261"/>
      <c r="AC444" s="555" t="s">
        <v>2018</v>
      </c>
      <c r="AD444" s="123" t="s">
        <v>146</v>
      </c>
      <c r="AE444" s="138"/>
      <c r="AF444" s="125"/>
      <c r="AG444" s="436" t="s">
        <v>131</v>
      </c>
      <c r="AH444" s="437" t="str">
        <f t="shared" si="38"/>
        <v>0</v>
      </c>
      <c r="AJ444" s="120"/>
      <c r="AK444" s="120" t="s">
        <v>147</v>
      </c>
      <c r="AL444" s="232" t="str">
        <f>VLOOKUP(AK444,'[3]17見直し計画'!$A$50:$AJ$584,6,0)</f>
        <v>　見直し計画策定以降の新規案件</v>
      </c>
      <c r="AM444" s="140">
        <f>VLOOKUP(AK444,'[3]17見直し計画'!$A$50:$AJ$584,8,0)</f>
        <v>0</v>
      </c>
      <c r="AN444" s="180"/>
      <c r="AO444" s="141">
        <f>VLOOKUP(AK444,'[3]17見直し計画'!$A$50:$AJ$584,11,0)</f>
        <v>0</v>
      </c>
      <c r="AP444" s="140">
        <f>VLOOKUP(AK444,'[3]17見直し計画'!$A$50:$AJ$584,12,0)</f>
        <v>0</v>
      </c>
      <c r="AQ444" s="140">
        <f>VLOOKUP(AK444,'[3]17見直し計画'!$A$50:$AJ$584,13,0)</f>
        <v>0</v>
      </c>
      <c r="AR444" s="140">
        <f>VLOOKUP(AK444,'[3]17見直し計画'!$A$50:$AJ$584,14,0)</f>
        <v>0</v>
      </c>
      <c r="AS444" s="140"/>
      <c r="AT444" s="140">
        <f>VLOOKUP(AK444,'[3]17見直し計画'!$A$50:$AJ$584,35,0)</f>
        <v>0</v>
      </c>
      <c r="AU444" s="140">
        <f>VLOOKUP(AK444,'[3]17見直し計画'!$A$50:$AJ$584,36,0)</f>
        <v>0</v>
      </c>
    </row>
    <row r="445" spans="1:47" ht="105" hidden="1" customHeight="1">
      <c r="B445" s="126" t="s">
        <v>213</v>
      </c>
      <c r="C445" s="120" t="s">
        <v>135</v>
      </c>
      <c r="D445" s="120" t="s">
        <v>136</v>
      </c>
      <c r="E445">
        <f t="shared" si="37"/>
        <v>359</v>
      </c>
      <c r="F445" s="122">
        <v>8</v>
      </c>
      <c r="G445" s="123">
        <v>6</v>
      </c>
      <c r="H445" s="121">
        <v>2201016</v>
      </c>
      <c r="I445" s="424"/>
      <c r="J445" s="121" t="s">
        <v>2030</v>
      </c>
      <c r="K445" s="121" t="s">
        <v>195</v>
      </c>
      <c r="L445" s="121" t="s">
        <v>1182</v>
      </c>
      <c r="M445" s="121" t="s">
        <v>1183</v>
      </c>
      <c r="N445" s="127" t="s">
        <v>186</v>
      </c>
      <c r="O445" s="544" t="s">
        <v>187</v>
      </c>
      <c r="P445" s="321" t="s">
        <v>122</v>
      </c>
      <c r="Q445" s="428" t="s">
        <v>2031</v>
      </c>
      <c r="R445" s="426" t="s">
        <v>2032</v>
      </c>
      <c r="S445" s="429" t="s">
        <v>1816</v>
      </c>
      <c r="T445" s="554">
        <v>40457</v>
      </c>
      <c r="U445" s="426" t="s">
        <v>297</v>
      </c>
      <c r="V445" s="426" t="s">
        <v>2033</v>
      </c>
      <c r="W445" s="452" t="s">
        <v>1695</v>
      </c>
      <c r="X445" s="432">
        <v>1567440</v>
      </c>
      <c r="Y445" s="432">
        <v>1367774</v>
      </c>
      <c r="Z445" s="433">
        <v>0.872</v>
      </c>
      <c r="AA445" s="439" t="s">
        <v>1445</v>
      </c>
      <c r="AB445" s="261"/>
      <c r="AC445" s="555" t="s">
        <v>2018</v>
      </c>
      <c r="AD445" s="123" t="s">
        <v>192</v>
      </c>
      <c r="AE445" s="138"/>
      <c r="AF445" s="125"/>
      <c r="AG445" s="436" t="s">
        <v>131</v>
      </c>
      <c r="AH445" s="437" t="str">
        <f t="shared" si="38"/>
        <v>0</v>
      </c>
      <c r="AJ445" s="120"/>
      <c r="AK445" s="120" t="s">
        <v>147</v>
      </c>
      <c r="AL445" s="232" t="str">
        <f>VLOOKUP(AK445,'[3]17見直し計画'!$A$50:$AJ$584,6,0)</f>
        <v>　見直し計画策定以降の新規案件</v>
      </c>
      <c r="AM445" s="140">
        <f>VLOOKUP(AK445,'[3]17見直し計画'!$A$50:$AJ$584,8,0)</f>
        <v>0</v>
      </c>
      <c r="AN445" s="180"/>
      <c r="AO445" s="141">
        <f>VLOOKUP(AK445,'[3]17見直し計画'!$A$50:$AJ$584,11,0)</f>
        <v>0</v>
      </c>
      <c r="AP445" s="140">
        <f>VLOOKUP(AK445,'[3]17見直し計画'!$A$50:$AJ$584,12,0)</f>
        <v>0</v>
      </c>
      <c r="AQ445" s="140">
        <f>VLOOKUP(AK445,'[3]17見直し計画'!$A$50:$AJ$584,13,0)</f>
        <v>0</v>
      </c>
      <c r="AR445" s="140">
        <f>VLOOKUP(AK445,'[3]17見直し計画'!$A$50:$AJ$584,14,0)</f>
        <v>0</v>
      </c>
      <c r="AS445" s="140"/>
      <c r="AT445" s="140">
        <f>VLOOKUP(AK445,'[3]17見直し計画'!$A$50:$AJ$584,35,0)</f>
        <v>0</v>
      </c>
      <c r="AU445" s="140">
        <f>VLOOKUP(AK445,'[3]17見直し計画'!$A$50:$AJ$584,36,0)</f>
        <v>0</v>
      </c>
    </row>
    <row r="446" spans="1:47" ht="105" hidden="1" customHeight="1">
      <c r="B446" s="152"/>
      <c r="C446" s="152"/>
      <c r="D446" s="234" t="s">
        <v>118</v>
      </c>
      <c r="E446">
        <f t="shared" si="37"/>
        <v>360</v>
      </c>
      <c r="F446" s="155">
        <v>9</v>
      </c>
      <c r="G446" s="156">
        <v>7</v>
      </c>
      <c r="H446" s="234">
        <v>2201066</v>
      </c>
      <c r="I446" s="488"/>
      <c r="J446" s="234" t="s">
        <v>2034</v>
      </c>
      <c r="K446" s="234" t="s">
        <v>661</v>
      </c>
      <c r="L446" s="234" t="s">
        <v>1190</v>
      </c>
      <c r="M446" s="234" t="s">
        <v>1448</v>
      </c>
      <c r="N446" s="160" t="s">
        <v>1468</v>
      </c>
      <c r="O446" s="556" t="s">
        <v>980</v>
      </c>
      <c r="P446" s="337" t="s">
        <v>163</v>
      </c>
      <c r="Q446" s="491" t="s">
        <v>2035</v>
      </c>
      <c r="R446" s="489" t="s">
        <v>2036</v>
      </c>
      <c r="S446" s="492" t="s">
        <v>1816</v>
      </c>
      <c r="T446" s="557">
        <v>40459</v>
      </c>
      <c r="U446" s="489" t="s">
        <v>1470</v>
      </c>
      <c r="V446" s="489" t="s">
        <v>1471</v>
      </c>
      <c r="W446" s="494" t="s">
        <v>2037</v>
      </c>
      <c r="X446" s="495">
        <v>31157234</v>
      </c>
      <c r="Y446" s="495">
        <v>31157234</v>
      </c>
      <c r="Z446" s="496">
        <v>1</v>
      </c>
      <c r="AA446" s="558" t="s">
        <v>1445</v>
      </c>
      <c r="AB446" s="284" t="s">
        <v>2038</v>
      </c>
      <c r="AC446" s="559">
        <v>1</v>
      </c>
      <c r="AD446" s="156" t="s">
        <v>1473</v>
      </c>
      <c r="AE446" s="171"/>
      <c r="AF446" s="158"/>
      <c r="AG446" s="500" t="s">
        <v>131</v>
      </c>
      <c r="AH446" s="171" t="str">
        <f t="shared" si="38"/>
        <v>0</v>
      </c>
      <c r="AI446" s="154"/>
      <c r="AJ446" s="152"/>
      <c r="AK446" s="152" t="s">
        <v>1474</v>
      </c>
      <c r="AL446" s="233" t="str">
        <f>VLOOKUP(AK446,'[3]17見直し計画'!$A$50:$AJ$584,6,0)</f>
        <v>独立行政法人　北方領土問題対策協会</v>
      </c>
      <c r="AM446" s="174" t="str">
        <f>VLOOKUP(AK446,'[3]17見直し計画'!$A$50:$AJ$584,8,0)</f>
        <v>北方四島住民招聘事業委嘱</v>
      </c>
      <c r="AN446" s="225" t="str">
        <f>VLOOKUP(AK446,'[3]17見直し計画'!$A$50:$AJ$584,10,0)</f>
        <v>平成17/10/07</v>
      </c>
      <c r="AO446" s="175">
        <f>VLOOKUP(AK446,'[3]17見直し計画'!$A$50:$AJ$584,11,0)</f>
        <v>37619978</v>
      </c>
      <c r="AP446" s="174" t="str">
        <f>VLOOKUP(AK446,'[3]17見直し計画'!$A$50:$AJ$584,12,0)</f>
        <v>　（独）北方領土問題対策協会（北対協）は、北方領土問題についての国民世論の啓発を行うこと等を目的として設置された組織である。北対協は、全国の各都道府県に設置されている「北方領土返還要求運動都道府県民会議」との組織的な連携を確保するとともに、返還要求運動に取り組む民間団体と緊密な連絡を図っている。当省から北対協に対して国民世論の啓発という側面も有している四島交流受入事業を委託することにより、長年にわたり世論啓発運動に従事し専門知識・ノウハウを有する北対協を通じて効果的な事業が実施できるのみならず、草の根レベルでの北方領土返還運動に従事する都道府県民会議を介する形で更に幅広い国民各層を対象とした啓発を行うことが可能となる。したがって、本事業については、当該団体と協力して実施することが政策上不可欠（会計法第29条の３第4項）</v>
      </c>
      <c r="AQ446" s="174" t="str">
        <f>VLOOKUP(AK446,'[3]17見直し計画'!$A$50:$AJ$584,13,0)</f>
        <v>その他のもの</v>
      </c>
      <c r="AR446" s="174" t="str">
        <f>VLOOKUP(AK446,'[3]17見直し計画'!$A$50:$AJ$584,14,0)</f>
        <v>ー
（随意契約によらざるを得ないもの）</v>
      </c>
      <c r="AS446" s="174"/>
      <c r="AT446" s="174">
        <f>VLOOKUP(AK446,'[3]17見直し計画'!$A$50:$AJ$584,35,0)</f>
        <v>0</v>
      </c>
      <c r="AU446" s="174">
        <f>VLOOKUP(AK446,'[3]17見直し計画'!$A$50:$AJ$584,36,0)</f>
        <v>0</v>
      </c>
    </row>
    <row r="447" spans="1:47" ht="105" hidden="1" customHeight="1">
      <c r="B447" s="126" t="s">
        <v>134</v>
      </c>
      <c r="C447" s="120" t="s">
        <v>135</v>
      </c>
      <c r="D447" s="143" t="s">
        <v>136</v>
      </c>
      <c r="E447">
        <f t="shared" si="37"/>
        <v>361</v>
      </c>
      <c r="F447" s="122">
        <v>10</v>
      </c>
      <c r="G447" s="123">
        <v>8</v>
      </c>
      <c r="H447" s="121">
        <v>2201119</v>
      </c>
      <c r="I447" s="424"/>
      <c r="J447" s="121" t="s">
        <v>2039</v>
      </c>
      <c r="K447" s="121" t="s">
        <v>195</v>
      </c>
      <c r="L447" s="121" t="s">
        <v>1182</v>
      </c>
      <c r="M447" s="121" t="s">
        <v>1183</v>
      </c>
      <c r="N447" s="127" t="s">
        <v>138</v>
      </c>
      <c r="O447" s="544" t="s">
        <v>139</v>
      </c>
      <c r="P447" s="321" t="s">
        <v>122</v>
      </c>
      <c r="Q447" s="428" t="s">
        <v>2040</v>
      </c>
      <c r="R447" s="426" t="s">
        <v>2041</v>
      </c>
      <c r="S447" s="429" t="s">
        <v>1816</v>
      </c>
      <c r="T447" s="554">
        <v>40459</v>
      </c>
      <c r="U447" s="426" t="s">
        <v>222</v>
      </c>
      <c r="V447" s="426" t="s">
        <v>333</v>
      </c>
      <c r="W447" s="452" t="s">
        <v>2042</v>
      </c>
      <c r="X447" s="432">
        <v>17916925</v>
      </c>
      <c r="Y447" s="432">
        <v>17916925</v>
      </c>
      <c r="Z447" s="433">
        <v>1</v>
      </c>
      <c r="AA447" s="439" t="s">
        <v>1445</v>
      </c>
      <c r="AB447" s="261"/>
      <c r="AC447" s="555" t="s">
        <v>2018</v>
      </c>
      <c r="AD447" s="123" t="s">
        <v>146</v>
      </c>
      <c r="AE447" s="138"/>
      <c r="AF447" s="125"/>
      <c r="AG447" s="436" t="s">
        <v>131</v>
      </c>
      <c r="AH447" s="437" t="str">
        <f t="shared" si="38"/>
        <v>0</v>
      </c>
      <c r="AJ447" s="120"/>
      <c r="AK447" s="120" t="s">
        <v>147</v>
      </c>
      <c r="AL447" s="232" t="str">
        <f>VLOOKUP(AK447,'[3]17見直し計画'!$A$50:$AJ$584,6,0)</f>
        <v>　見直し計画策定以降の新規案件</v>
      </c>
      <c r="AM447" s="140">
        <f>VLOOKUP(AK447,'[3]17見直し計画'!$A$50:$AJ$584,8,0)</f>
        <v>0</v>
      </c>
      <c r="AN447" s="180"/>
      <c r="AO447" s="141">
        <f>VLOOKUP(AK447,'[3]17見直し計画'!$A$50:$AJ$584,11,0)</f>
        <v>0</v>
      </c>
      <c r="AP447" s="140">
        <f>VLOOKUP(AK447,'[3]17見直し計画'!$A$50:$AJ$584,12,0)</f>
        <v>0</v>
      </c>
      <c r="AQ447" s="140">
        <f>VLOOKUP(AK447,'[3]17見直し計画'!$A$50:$AJ$584,13,0)</f>
        <v>0</v>
      </c>
      <c r="AR447" s="140">
        <f>VLOOKUP(AK447,'[3]17見直し計画'!$A$50:$AJ$584,14,0)</f>
        <v>0</v>
      </c>
      <c r="AS447" s="140"/>
      <c r="AT447" s="140">
        <f>VLOOKUP(AK447,'[3]17見直し計画'!$A$50:$AJ$584,35,0)</f>
        <v>0</v>
      </c>
      <c r="AU447" s="140">
        <f>VLOOKUP(AK447,'[3]17見直し計画'!$A$50:$AJ$584,36,0)</f>
        <v>0</v>
      </c>
    </row>
    <row r="448" spans="1:47" ht="105" hidden="1" customHeight="1">
      <c r="B448" s="182"/>
      <c r="C448" s="182"/>
      <c r="D448" s="223" t="s">
        <v>421</v>
      </c>
      <c r="E448">
        <f t="shared" si="37"/>
        <v>362</v>
      </c>
      <c r="F448" s="185">
        <v>11</v>
      </c>
      <c r="G448" s="186">
        <v>9</v>
      </c>
      <c r="H448" s="183">
        <v>2201026</v>
      </c>
      <c r="I448" s="441"/>
      <c r="J448" s="183" t="s">
        <v>2043</v>
      </c>
      <c r="K448" s="183" t="s">
        <v>875</v>
      </c>
      <c r="L448" s="183" t="s">
        <v>1163</v>
      </c>
      <c r="M448" s="183" t="s">
        <v>1175</v>
      </c>
      <c r="N448" s="190" t="s">
        <v>230</v>
      </c>
      <c r="O448" s="550" t="s">
        <v>139</v>
      </c>
      <c r="P448" s="328" t="s">
        <v>231</v>
      </c>
      <c r="Q448" s="444" t="s">
        <v>2044</v>
      </c>
      <c r="R448" s="442" t="s">
        <v>2045</v>
      </c>
      <c r="S448" s="445" t="s">
        <v>1816</v>
      </c>
      <c r="T448" s="551">
        <v>40459</v>
      </c>
      <c r="U448" s="442" t="s">
        <v>396</v>
      </c>
      <c r="V448" s="442" t="s">
        <v>397</v>
      </c>
      <c r="W448" s="447" t="s">
        <v>1643</v>
      </c>
      <c r="X448" s="409">
        <v>2500000</v>
      </c>
      <c r="Y448" s="409">
        <v>2415000</v>
      </c>
      <c r="Z448" s="448">
        <v>0.96599999999999997</v>
      </c>
      <c r="AA448" s="449" t="s">
        <v>1445</v>
      </c>
      <c r="AB448" s="271"/>
      <c r="AC448" s="553">
        <v>6</v>
      </c>
      <c r="AD448" s="186" t="s">
        <v>237</v>
      </c>
      <c r="AE448" s="201"/>
      <c r="AF448" s="188"/>
      <c r="AG448" s="451" t="s">
        <v>131</v>
      </c>
      <c r="AH448" s="201" t="str">
        <f t="shared" si="38"/>
        <v>0</v>
      </c>
      <c r="AI448" s="184"/>
      <c r="AJ448" s="182"/>
      <c r="AK448" s="182" t="s">
        <v>147</v>
      </c>
      <c r="AL448" s="231" t="str">
        <f>VLOOKUP(AK448,'[3]17見直し計画'!$A$50:$AJ$584,6,0)</f>
        <v>　見直し計画策定以降の新規案件</v>
      </c>
      <c r="AM448" s="204">
        <f>VLOOKUP(AK448,'[3]17見直し計画'!$A$50:$AJ$584,8,0)</f>
        <v>0</v>
      </c>
      <c r="AN448" s="224"/>
      <c r="AO448" s="205">
        <f>VLOOKUP(AK448,'[3]17見直し計画'!$A$50:$AJ$584,11,0)</f>
        <v>0</v>
      </c>
      <c r="AP448" s="204">
        <f>VLOOKUP(AK448,'[3]17見直し計画'!$A$50:$AJ$584,12,0)</f>
        <v>0</v>
      </c>
      <c r="AQ448" s="204">
        <f>VLOOKUP(AK448,'[3]17見直し計画'!$A$50:$AJ$584,13,0)</f>
        <v>0</v>
      </c>
      <c r="AR448" s="204">
        <f>VLOOKUP(AK448,'[3]17見直し計画'!$A$50:$AJ$584,14,0)</f>
        <v>0</v>
      </c>
      <c r="AS448" s="204"/>
      <c r="AT448" s="204">
        <f>VLOOKUP(AK448,'[3]17見直し計画'!$A$50:$AJ$584,35,0)</f>
        <v>0</v>
      </c>
      <c r="AU448" s="204">
        <f>VLOOKUP(AK448,'[3]17見直し計画'!$A$50:$AJ$584,36,0)</f>
        <v>0</v>
      </c>
    </row>
    <row r="449" spans="1:47" ht="105" customHeight="1">
      <c r="B449" s="143" t="s">
        <v>476</v>
      </c>
      <c r="C449" s="143" t="s">
        <v>550</v>
      </c>
      <c r="D449" s="143" t="s">
        <v>351</v>
      </c>
      <c r="E449">
        <f t="shared" si="37"/>
        <v>363</v>
      </c>
      <c r="F449" s="122">
        <v>12</v>
      </c>
      <c r="G449" s="123">
        <v>10</v>
      </c>
      <c r="H449" s="121">
        <v>2201014</v>
      </c>
      <c r="I449" s="459"/>
      <c r="J449" s="121" t="s">
        <v>2046</v>
      </c>
      <c r="K449" s="121" t="s">
        <v>1162</v>
      </c>
      <c r="L449" s="121" t="s">
        <v>1163</v>
      </c>
      <c r="M449" s="121" t="s">
        <v>1175</v>
      </c>
      <c r="N449" s="127" t="s">
        <v>138</v>
      </c>
      <c r="O449" s="560" t="s">
        <v>139</v>
      </c>
      <c r="P449" s="321" t="s">
        <v>122</v>
      </c>
      <c r="Q449" s="428" t="s">
        <v>2047</v>
      </c>
      <c r="R449" s="460" t="s">
        <v>2048</v>
      </c>
      <c r="S449" s="429" t="s">
        <v>1816</v>
      </c>
      <c r="T449" s="554">
        <v>40459</v>
      </c>
      <c r="U449" s="460" t="s">
        <v>1431</v>
      </c>
      <c r="V449" s="460" t="s">
        <v>1432</v>
      </c>
      <c r="W449" s="465" t="s">
        <v>2049</v>
      </c>
      <c r="X449" s="466">
        <v>2160373</v>
      </c>
      <c r="Y449" s="466">
        <v>2160373</v>
      </c>
      <c r="Z449" s="433">
        <v>1</v>
      </c>
      <c r="AA449" s="467" t="s">
        <v>1445</v>
      </c>
      <c r="AB449" s="561"/>
      <c r="AC449" s="555" t="s">
        <v>2018</v>
      </c>
      <c r="AD449" s="123" t="s">
        <v>146</v>
      </c>
      <c r="AE449" s="138"/>
      <c r="AF449" s="125"/>
      <c r="AG449" s="436" t="s">
        <v>131</v>
      </c>
      <c r="AH449" s="437" t="str">
        <f t="shared" si="38"/>
        <v>0</v>
      </c>
      <c r="AJ449" s="120"/>
      <c r="AK449" s="120" t="s">
        <v>1429</v>
      </c>
      <c r="AL449" s="232" t="str">
        <f>VLOOKUP(AK449,'[3]17見直し計画'!$A$50:$AJ$584,6,0)</f>
        <v>市立根室病院（市立根室病院院長　羽根田　俊）</v>
      </c>
      <c r="AM449" s="140" t="str">
        <f>VLOOKUP(AK449,'[3]17見直し計画'!$A$50:$AJ$584,8,0)</f>
        <v>北方四島住民支援（平成１７年度患者受入事業：第１回目）について</v>
      </c>
      <c r="AN449" s="180">
        <f>VLOOKUP(AK449,'[3]17見直し計画'!$A$50:$AJ$584,10,0)</f>
        <v>38520</v>
      </c>
      <c r="AO449" s="141">
        <f>VLOOKUP(AK449,'[3]17見直し計画'!$A$50:$AJ$584,11,0)</f>
        <v>6763626</v>
      </c>
      <c r="AP449" s="140" t="str">
        <f>VLOOKUP(AK449,'[3]17見直し計画'!$A$50:$AJ$584,12,0)</f>
        <v>人道的観点及び平和条約締結交渉促進の観点から北方四島の患者を受け入れるものであり、事業目的に鑑み、これまでの実績を勘案して受け入れ機関を決定する事とした（会計法第２９条の３第４項）。</v>
      </c>
      <c r="AQ449" s="140" t="str">
        <f>VLOOKUP(AK449,'[3]17見直し計画'!$A$50:$AJ$584,13,0)</f>
        <v>その他のもの</v>
      </c>
      <c r="AR449" s="140" t="str">
        <f>VLOOKUP(AK449,'[3]17見直し計画'!$A$50:$AJ$584,14,0)</f>
        <v>随意契約によらざるを得ないもの</v>
      </c>
      <c r="AS449" s="140"/>
      <c r="AT449" s="140" t="str">
        <f>VLOOKUP(AK449,'[3]17見直し計画'!$A$50:$AJ$584,35,0)</f>
        <v>場所が限定される賃貸借その他業務</v>
      </c>
      <c r="AU449" s="140" t="str">
        <f>VLOOKUP(AK449,'[3]17見直し計画'!$A$50:$AJ$584,36,0)</f>
        <v>ロ</v>
      </c>
    </row>
    <row r="450" spans="1:47" ht="105" hidden="1" customHeight="1">
      <c r="A450" t="s">
        <v>148</v>
      </c>
      <c r="B450" s="126" t="s">
        <v>218</v>
      </c>
      <c r="C450" s="178" t="s">
        <v>135</v>
      </c>
      <c r="D450" s="143" t="s">
        <v>136</v>
      </c>
      <c r="E450">
        <f>SUM(E449+1)</f>
        <v>364</v>
      </c>
      <c r="F450" s="122">
        <v>13</v>
      </c>
      <c r="G450" s="123">
        <v>11</v>
      </c>
      <c r="H450" s="121">
        <v>2201247</v>
      </c>
      <c r="I450" s="424"/>
      <c r="J450" s="121" t="s">
        <v>2050</v>
      </c>
      <c r="K450" s="121" t="s">
        <v>501</v>
      </c>
      <c r="L450" s="121" t="s">
        <v>2051</v>
      </c>
      <c r="M450" s="121" t="s">
        <v>1461</v>
      </c>
      <c r="N450" s="127" t="s">
        <v>138</v>
      </c>
      <c r="O450" s="544" t="s">
        <v>139</v>
      </c>
      <c r="P450" s="321" t="s">
        <v>122</v>
      </c>
      <c r="Q450" s="428" t="s">
        <v>2052</v>
      </c>
      <c r="R450" s="426" t="s">
        <v>2053</v>
      </c>
      <c r="S450" s="429" t="s">
        <v>1816</v>
      </c>
      <c r="T450" s="554">
        <v>40459</v>
      </c>
      <c r="U450" s="426" t="s">
        <v>2054</v>
      </c>
      <c r="V450" s="426" t="s">
        <v>2055</v>
      </c>
      <c r="W450" s="452" t="s">
        <v>2056</v>
      </c>
      <c r="X450" s="432" t="s">
        <v>129</v>
      </c>
      <c r="Y450" s="454">
        <v>433485</v>
      </c>
      <c r="Z450" s="433" t="s">
        <v>1445</v>
      </c>
      <c r="AA450" s="439" t="s">
        <v>1445</v>
      </c>
      <c r="AB450" s="261" t="s">
        <v>2057</v>
      </c>
      <c r="AC450" s="555" t="s">
        <v>2018</v>
      </c>
      <c r="AD450" s="123" t="s">
        <v>146</v>
      </c>
      <c r="AE450" s="138"/>
      <c r="AF450" s="125"/>
      <c r="AG450" s="436" t="s">
        <v>131</v>
      </c>
      <c r="AH450" s="437" t="str">
        <f t="shared" si="38"/>
        <v>0</v>
      </c>
      <c r="AJ450" s="120"/>
      <c r="AK450" s="120" t="s">
        <v>147</v>
      </c>
      <c r="AL450" s="232" t="str">
        <f>VLOOKUP(AK450,'[3]17見直し計画'!$A$50:$AJ$584,6,0)</f>
        <v>　見直し計画策定以降の新規案件</v>
      </c>
      <c r="AM450" s="140">
        <f>VLOOKUP(AK450,'[3]17見直し計画'!$A$50:$AJ$584,8,0)</f>
        <v>0</v>
      </c>
      <c r="AN450" s="180"/>
      <c r="AO450" s="141">
        <f>VLOOKUP(AK450,'[3]17見直し計画'!$A$50:$AJ$584,11,0)</f>
        <v>0</v>
      </c>
      <c r="AP450" s="140">
        <f>VLOOKUP(AK450,'[3]17見直し計画'!$A$50:$AJ$584,12,0)</f>
        <v>0</v>
      </c>
      <c r="AQ450" s="140">
        <f>VLOOKUP(AK450,'[3]17見直し計画'!$A$50:$AJ$584,13,0)</f>
        <v>0</v>
      </c>
      <c r="AR450" s="140">
        <f>VLOOKUP(AK450,'[3]17見直し計画'!$A$50:$AJ$584,14,0)</f>
        <v>0</v>
      </c>
      <c r="AS450" s="140"/>
      <c r="AT450" s="140">
        <f>VLOOKUP(AK450,'[3]17見直し計画'!$A$50:$AJ$584,35,0)</f>
        <v>0</v>
      </c>
      <c r="AU450" s="140">
        <f>VLOOKUP(AK450,'[3]17見直し計画'!$A$50:$AJ$584,36,0)</f>
        <v>0</v>
      </c>
    </row>
    <row r="451" spans="1:47" ht="105" hidden="1" customHeight="1">
      <c r="A451" t="s">
        <v>148</v>
      </c>
      <c r="B451" s="126" t="s">
        <v>218</v>
      </c>
      <c r="C451" s="178" t="s">
        <v>135</v>
      </c>
      <c r="D451" s="143" t="s">
        <v>136</v>
      </c>
      <c r="E451">
        <f t="shared" si="37"/>
        <v>365</v>
      </c>
      <c r="F451" s="122">
        <v>14</v>
      </c>
      <c r="G451" s="123">
        <v>12</v>
      </c>
      <c r="H451" s="121">
        <v>2201210</v>
      </c>
      <c r="I451" s="474"/>
      <c r="J451" s="121" t="s">
        <v>2058</v>
      </c>
      <c r="K451" s="121" t="s">
        <v>501</v>
      </c>
      <c r="L451" s="121" t="s">
        <v>1987</v>
      </c>
      <c r="M451" s="121" t="s">
        <v>1655</v>
      </c>
      <c r="N451" s="127" t="s">
        <v>138</v>
      </c>
      <c r="O451" s="562" t="s">
        <v>139</v>
      </c>
      <c r="P451" s="321" t="s">
        <v>122</v>
      </c>
      <c r="Q451" s="428" t="s">
        <v>2059</v>
      </c>
      <c r="R451" s="475" t="s">
        <v>2060</v>
      </c>
      <c r="S451" s="429" t="s">
        <v>1816</v>
      </c>
      <c r="T451" s="554">
        <v>40459</v>
      </c>
      <c r="U451" s="475" t="s">
        <v>2061</v>
      </c>
      <c r="V451" s="475" t="s">
        <v>2062</v>
      </c>
      <c r="W451" s="481" t="s">
        <v>2063</v>
      </c>
      <c r="X451" s="482" t="s">
        <v>129</v>
      </c>
      <c r="Y451" s="563">
        <v>1481358</v>
      </c>
      <c r="Z451" s="433" t="s">
        <v>1445</v>
      </c>
      <c r="AA451" s="483" t="s">
        <v>1445</v>
      </c>
      <c r="AB451" s="564" t="s">
        <v>986</v>
      </c>
      <c r="AC451" s="555" t="s">
        <v>2018</v>
      </c>
      <c r="AD451" s="123" t="s">
        <v>146</v>
      </c>
      <c r="AE451" s="138"/>
      <c r="AF451" s="125"/>
      <c r="AG451" s="436" t="s">
        <v>131</v>
      </c>
      <c r="AH451" s="437" t="str">
        <f t="shared" si="38"/>
        <v>0</v>
      </c>
      <c r="AJ451" s="120"/>
      <c r="AK451" s="120" t="s">
        <v>147</v>
      </c>
      <c r="AL451" s="232" t="str">
        <f>VLOOKUP(AK451,'[3]17見直し計画'!$A$50:$AJ$584,6,0)</f>
        <v>　見直し計画策定以降の新規案件</v>
      </c>
      <c r="AM451" s="140">
        <f>VLOOKUP(AK451,'[3]17見直し計画'!$A$50:$AJ$584,8,0)</f>
        <v>0</v>
      </c>
      <c r="AN451" s="180"/>
      <c r="AO451" s="141">
        <f>VLOOKUP(AK451,'[3]17見直し計画'!$A$50:$AJ$584,11,0)</f>
        <v>0</v>
      </c>
      <c r="AP451" s="140">
        <f>VLOOKUP(AK451,'[3]17見直し計画'!$A$50:$AJ$584,12,0)</f>
        <v>0</v>
      </c>
      <c r="AQ451" s="140">
        <f>VLOOKUP(AK451,'[3]17見直し計画'!$A$50:$AJ$584,13,0)</f>
        <v>0</v>
      </c>
      <c r="AR451" s="140">
        <f>VLOOKUP(AK451,'[3]17見直し計画'!$A$50:$AJ$584,14,0)</f>
        <v>0</v>
      </c>
      <c r="AS451" s="140"/>
      <c r="AT451" s="140">
        <f>VLOOKUP(AK451,'[3]17見直し計画'!$A$50:$AJ$584,35,0)</f>
        <v>0</v>
      </c>
      <c r="AU451" s="140">
        <f>VLOOKUP(AK451,'[3]17見直し計画'!$A$50:$AJ$584,36,0)</f>
        <v>0</v>
      </c>
    </row>
    <row r="452" spans="1:47" ht="105" customHeight="1">
      <c r="A452" t="s">
        <v>156</v>
      </c>
      <c r="B452" s="257" t="s">
        <v>1142</v>
      </c>
      <c r="C452" s="258" t="s">
        <v>255</v>
      </c>
      <c r="D452" s="257" t="s">
        <v>351</v>
      </c>
      <c r="E452">
        <f t="shared" si="37"/>
        <v>366</v>
      </c>
      <c r="F452" s="122">
        <v>15</v>
      </c>
      <c r="G452" s="123">
        <v>13</v>
      </c>
      <c r="H452" s="121">
        <v>2200954</v>
      </c>
      <c r="I452" s="424"/>
      <c r="J452" s="121" t="s">
        <v>2064</v>
      </c>
      <c r="K452" s="121" t="s">
        <v>461</v>
      </c>
      <c r="L452" s="121" t="s">
        <v>1182</v>
      </c>
      <c r="M452" s="121" t="s">
        <v>1183</v>
      </c>
      <c r="N452" s="127" t="s">
        <v>138</v>
      </c>
      <c r="O452" s="544" t="s">
        <v>139</v>
      </c>
      <c r="P452" s="321" t="s">
        <v>122</v>
      </c>
      <c r="Q452" s="428" t="s">
        <v>2065</v>
      </c>
      <c r="R452" s="426" t="s">
        <v>2066</v>
      </c>
      <c r="S452" s="429" t="s">
        <v>1816</v>
      </c>
      <c r="T452" s="554">
        <v>40463</v>
      </c>
      <c r="U452" s="426" t="s">
        <v>222</v>
      </c>
      <c r="V452" s="426" t="s">
        <v>333</v>
      </c>
      <c r="W452" s="452" t="s">
        <v>1961</v>
      </c>
      <c r="X452" s="432">
        <v>29332800</v>
      </c>
      <c r="Y452" s="432">
        <v>29332800</v>
      </c>
      <c r="Z452" s="433">
        <v>1</v>
      </c>
      <c r="AA452" s="439" t="s">
        <v>1445</v>
      </c>
      <c r="AB452" s="261"/>
      <c r="AC452" s="555" t="s">
        <v>2018</v>
      </c>
      <c r="AD452" s="123" t="s">
        <v>146</v>
      </c>
      <c r="AE452" s="138"/>
      <c r="AF452" s="125"/>
      <c r="AG452" s="436" t="s">
        <v>131</v>
      </c>
      <c r="AH452" s="437" t="str">
        <f t="shared" si="38"/>
        <v>0</v>
      </c>
      <c r="AI452" s="177"/>
      <c r="AJ452" s="120"/>
      <c r="AK452" s="120" t="s">
        <v>2067</v>
      </c>
      <c r="AL452" s="232" t="str">
        <f>VLOOKUP(AK452,'[3]17見直し計画'!$A$50:$AJ$584,6,0)</f>
        <v>富士通株式会社</v>
      </c>
      <c r="AM452" s="140" t="str">
        <f>VLOOKUP(AK452,'[3]17見直し計画'!$A$50:$AJ$584,8,0)</f>
        <v>「在留届電子届出システム改修」業務委嘱</v>
      </c>
      <c r="AN452" s="180">
        <f>VLOOKUP(AK452,'[3]17見直し計画'!$A$50:$AJ$584,10,0)</f>
        <v>38782</v>
      </c>
      <c r="AO452" s="141">
        <f>VLOOKUP(AK452,'[3]17見直し計画'!$A$50:$AJ$584,11,0)</f>
        <v>13059648</v>
      </c>
      <c r="AP452" s="140" t="str">
        <f>VLOOKUP(AK452,'[3]17見直し計画'!$A$50:$AJ$584,12,0)</f>
        <v>システムの開発業者が、自社製品やカスタマイズされた独自の機器、システムを使用しているため、その改修（機能追加作業）を行えるのは当該業者以外になく、他に競争を許さない（会計法第２９条の３第４項）。</v>
      </c>
      <c r="AQ452" s="140" t="str">
        <f>VLOOKUP(AK452,'[3]17見直し計画'!$A$50:$AJ$584,13,0)</f>
        <v>見直しの余地があるもの</v>
      </c>
      <c r="AR452" s="140" t="str">
        <f>VLOOKUP(AK452,'[3]17見直し計画'!$A$50:$AJ$584,14,0)</f>
        <v>１８年度において当該事務・事業の委託等を行う予定のないもの</v>
      </c>
      <c r="AS452" s="140"/>
      <c r="AT452" s="140">
        <f>VLOOKUP(AK452,'[3]17見直し計画'!$A$50:$AJ$584,35,0)</f>
        <v>0</v>
      </c>
      <c r="AU452" s="140">
        <f>VLOOKUP(AK452,'[3]17見直し計画'!$A$50:$AJ$584,36,0)</f>
        <v>0</v>
      </c>
    </row>
    <row r="453" spans="1:47" ht="105" hidden="1" customHeight="1">
      <c r="B453" s="126" t="s">
        <v>2068</v>
      </c>
      <c r="C453" s="178" t="s">
        <v>135</v>
      </c>
      <c r="D453" s="143" t="s">
        <v>136</v>
      </c>
      <c r="E453" s="177">
        <f>SUM(E452+1)</f>
        <v>367</v>
      </c>
      <c r="F453" s="122"/>
      <c r="G453" s="123"/>
      <c r="H453" s="121">
        <v>2201394</v>
      </c>
      <c r="I453" s="424"/>
      <c r="J453" s="424" t="s">
        <v>2069</v>
      </c>
      <c r="K453" s="121" t="s">
        <v>501</v>
      </c>
      <c r="L453" s="121" t="s">
        <v>1147</v>
      </c>
      <c r="M453" s="121" t="s">
        <v>1655</v>
      </c>
      <c r="N453" s="127" t="s">
        <v>2070</v>
      </c>
      <c r="O453" s="565" t="s">
        <v>355</v>
      </c>
      <c r="P453" s="321" t="s">
        <v>122</v>
      </c>
      <c r="Q453" s="428"/>
      <c r="R453" s="426" t="s">
        <v>2071</v>
      </c>
      <c r="S453" s="429" t="s">
        <v>1816</v>
      </c>
      <c r="T453" s="554">
        <v>40466</v>
      </c>
      <c r="U453" s="426" t="s">
        <v>2072</v>
      </c>
      <c r="V453" s="426" t="s">
        <v>2073</v>
      </c>
      <c r="W453" s="452" t="s">
        <v>2074</v>
      </c>
      <c r="X453" s="432">
        <v>4353594</v>
      </c>
      <c r="Y453" s="432">
        <v>2752985</v>
      </c>
      <c r="Z453" s="433">
        <v>1</v>
      </c>
      <c r="AA453" s="434" t="s">
        <v>129</v>
      </c>
      <c r="AB453" s="261" t="s">
        <v>2075</v>
      </c>
      <c r="AC453" s="555" t="s">
        <v>2018</v>
      </c>
      <c r="AD453" s="127" t="s">
        <v>361</v>
      </c>
      <c r="AE453" s="138"/>
      <c r="AF453" s="125"/>
      <c r="AG453" s="436" t="s">
        <v>131</v>
      </c>
      <c r="AH453" s="437">
        <v>0</v>
      </c>
      <c r="AI453" s="177"/>
      <c r="AJ453" s="120"/>
      <c r="AK453" s="120" t="s">
        <v>147</v>
      </c>
      <c r="AL453" s="232" t="str">
        <f>VLOOKUP(AK453,'[3]17見直し計画'!$A$50:$AJ$584,6,0)</f>
        <v>　見直し計画策定以降の新規案件</v>
      </c>
      <c r="AM453" s="140">
        <f>VLOOKUP(AK453,'[3]17見直し計画'!$A$50:$AJ$584,8,0)</f>
        <v>0</v>
      </c>
      <c r="AN453" s="180"/>
      <c r="AO453" s="141">
        <f>VLOOKUP(AK453,'[3]17見直し計画'!$A$50:$AJ$584,11,0)</f>
        <v>0</v>
      </c>
      <c r="AP453" s="140">
        <f>VLOOKUP(AK453,'[3]17見直し計画'!$A$50:$AJ$584,12,0)</f>
        <v>0</v>
      </c>
      <c r="AQ453" s="140">
        <f>VLOOKUP(AK453,'[3]17見直し計画'!$A$50:$AJ$584,13,0)</f>
        <v>0</v>
      </c>
      <c r="AR453" s="140">
        <f>VLOOKUP(AK453,'[3]17見直し計画'!$A$50:$AJ$584,14,0)</f>
        <v>0</v>
      </c>
      <c r="AS453" s="140"/>
      <c r="AT453" s="140">
        <f>VLOOKUP(AK453,'[3]17見直し計画'!$A$50:$AJ$584,35,0)</f>
        <v>0</v>
      </c>
      <c r="AU453" s="140">
        <f>VLOOKUP(AK453,'[3]17見直し計画'!$A$50:$AJ$584,36,0)</f>
        <v>0</v>
      </c>
    </row>
    <row r="454" spans="1:47" ht="105" hidden="1" customHeight="1">
      <c r="B454" s="126" t="s">
        <v>1644</v>
      </c>
      <c r="C454" s="120" t="s">
        <v>135</v>
      </c>
      <c r="D454" s="120" t="s">
        <v>136</v>
      </c>
      <c r="E454">
        <f t="shared" si="37"/>
        <v>368</v>
      </c>
      <c r="F454" s="122">
        <v>16</v>
      </c>
      <c r="G454" s="123">
        <v>14</v>
      </c>
      <c r="H454" s="121">
        <v>2201072</v>
      </c>
      <c r="I454" s="424"/>
      <c r="J454" s="121" t="s">
        <v>2076</v>
      </c>
      <c r="K454" s="121" t="s">
        <v>2077</v>
      </c>
      <c r="L454" s="121" t="s">
        <v>1190</v>
      </c>
      <c r="M454" s="121" t="s">
        <v>2078</v>
      </c>
      <c r="N454" s="127" t="s">
        <v>138</v>
      </c>
      <c r="O454" s="544" t="s">
        <v>139</v>
      </c>
      <c r="P454" s="321" t="s">
        <v>122</v>
      </c>
      <c r="Q454" s="428" t="s">
        <v>2079</v>
      </c>
      <c r="R454" s="426" t="s">
        <v>2080</v>
      </c>
      <c r="S454" s="429" t="s">
        <v>1816</v>
      </c>
      <c r="T454" s="554">
        <v>40463</v>
      </c>
      <c r="U454" s="426" t="s">
        <v>2081</v>
      </c>
      <c r="V454" s="426" t="s">
        <v>2082</v>
      </c>
      <c r="W454" s="452" t="s">
        <v>2083</v>
      </c>
      <c r="X454" s="432">
        <v>1199520</v>
      </c>
      <c r="Y454" s="432">
        <v>1166403</v>
      </c>
      <c r="Z454" s="433">
        <v>0.97199999999999998</v>
      </c>
      <c r="AA454" s="439" t="s">
        <v>1445</v>
      </c>
      <c r="AB454" s="261"/>
      <c r="AC454" s="555" t="s">
        <v>2018</v>
      </c>
      <c r="AD454" s="123" t="s">
        <v>146</v>
      </c>
      <c r="AE454" s="138"/>
      <c r="AF454" s="125"/>
      <c r="AG454" s="436" t="s">
        <v>131</v>
      </c>
      <c r="AH454" s="437" t="str">
        <f t="shared" si="38"/>
        <v>0</v>
      </c>
      <c r="AJ454" s="120"/>
      <c r="AK454" s="120" t="s">
        <v>147</v>
      </c>
      <c r="AL454" s="232" t="str">
        <f>VLOOKUP(AK454,'[3]17見直し計画'!$A$50:$AJ$584,6,0)</f>
        <v>　見直し計画策定以降の新規案件</v>
      </c>
      <c r="AM454" s="140">
        <f>VLOOKUP(AK454,'[3]17見直し計画'!$A$50:$AJ$584,8,0)</f>
        <v>0</v>
      </c>
      <c r="AN454" s="180"/>
      <c r="AO454" s="141">
        <f>VLOOKUP(AK454,'[3]17見直し計画'!$A$50:$AJ$584,11,0)</f>
        <v>0</v>
      </c>
      <c r="AP454" s="140">
        <f>VLOOKUP(AK454,'[3]17見直し計画'!$A$50:$AJ$584,12,0)</f>
        <v>0</v>
      </c>
      <c r="AQ454" s="140">
        <f>VLOOKUP(AK454,'[3]17見直し計画'!$A$50:$AJ$584,13,0)</f>
        <v>0</v>
      </c>
      <c r="AR454" s="140">
        <f>VLOOKUP(AK454,'[3]17見直し計画'!$A$50:$AJ$584,14,0)</f>
        <v>0</v>
      </c>
      <c r="AS454" s="140"/>
      <c r="AT454" s="140">
        <f>VLOOKUP(AK454,'[3]17見直し計画'!$A$50:$AJ$584,35,0)</f>
        <v>0</v>
      </c>
      <c r="AU454" s="140">
        <f>VLOOKUP(AK454,'[3]17見直し計画'!$A$50:$AJ$584,36,0)</f>
        <v>0</v>
      </c>
    </row>
    <row r="455" spans="1:47" ht="105" hidden="1" customHeight="1">
      <c r="B455" s="126" t="s">
        <v>134</v>
      </c>
      <c r="C455" s="120" t="s">
        <v>135</v>
      </c>
      <c r="D455" s="120" t="s">
        <v>136</v>
      </c>
      <c r="E455">
        <f t="shared" si="37"/>
        <v>369</v>
      </c>
      <c r="F455" s="122">
        <v>17</v>
      </c>
      <c r="G455" s="123">
        <v>15</v>
      </c>
      <c r="H455" s="121">
        <v>2201035</v>
      </c>
      <c r="I455" s="424"/>
      <c r="J455" s="121" t="s">
        <v>2084</v>
      </c>
      <c r="K455" s="121" t="s">
        <v>195</v>
      </c>
      <c r="L455" s="121" t="s">
        <v>1182</v>
      </c>
      <c r="M455" s="121" t="s">
        <v>1183</v>
      </c>
      <c r="N455" s="127" t="s">
        <v>138</v>
      </c>
      <c r="O455" s="544" t="s">
        <v>139</v>
      </c>
      <c r="P455" s="321" t="s">
        <v>122</v>
      </c>
      <c r="Q455" s="428" t="s">
        <v>2085</v>
      </c>
      <c r="R455" s="426" t="s">
        <v>2086</v>
      </c>
      <c r="S455" s="429" t="s">
        <v>1816</v>
      </c>
      <c r="T455" s="554">
        <v>40464</v>
      </c>
      <c r="U455" s="426" t="s">
        <v>622</v>
      </c>
      <c r="V455" s="426" t="s">
        <v>623</v>
      </c>
      <c r="W455" s="452" t="s">
        <v>1961</v>
      </c>
      <c r="X455" s="432">
        <v>1475775</v>
      </c>
      <c r="Y455" s="432">
        <v>1475775</v>
      </c>
      <c r="Z455" s="433">
        <v>1</v>
      </c>
      <c r="AA455" s="434" t="s">
        <v>1445</v>
      </c>
      <c r="AB455" s="261"/>
      <c r="AC455" s="555" t="s">
        <v>2018</v>
      </c>
      <c r="AD455" s="123" t="s">
        <v>146</v>
      </c>
      <c r="AE455" s="138"/>
      <c r="AF455" s="125"/>
      <c r="AG455" s="436" t="s">
        <v>131</v>
      </c>
      <c r="AH455" s="437" t="str">
        <f t="shared" si="38"/>
        <v>0</v>
      </c>
      <c r="AJ455" s="120"/>
      <c r="AK455" s="120" t="s">
        <v>147</v>
      </c>
      <c r="AL455" s="232" t="str">
        <f>VLOOKUP(AK455,'[3]17見直し計画'!$A$50:$AJ$584,6,0)</f>
        <v>　見直し計画策定以降の新規案件</v>
      </c>
      <c r="AM455" s="140">
        <f>VLOOKUP(AK455,'[3]17見直し計画'!$A$50:$AJ$584,8,0)</f>
        <v>0</v>
      </c>
      <c r="AN455" s="180"/>
      <c r="AO455" s="141">
        <f>VLOOKUP(AK455,'[3]17見直し計画'!$A$50:$AJ$584,11,0)</f>
        <v>0</v>
      </c>
      <c r="AP455" s="140">
        <f>VLOOKUP(AK455,'[3]17見直し計画'!$A$50:$AJ$584,12,0)</f>
        <v>0</v>
      </c>
      <c r="AQ455" s="140">
        <f>VLOOKUP(AK455,'[3]17見直し計画'!$A$50:$AJ$584,13,0)</f>
        <v>0</v>
      </c>
      <c r="AR455" s="140">
        <f>VLOOKUP(AK455,'[3]17見直し計画'!$A$50:$AJ$584,14,0)</f>
        <v>0</v>
      </c>
      <c r="AS455" s="140"/>
      <c r="AT455" s="140">
        <f>VLOOKUP(AK455,'[3]17見直し計画'!$A$50:$AJ$584,35,0)</f>
        <v>0</v>
      </c>
      <c r="AU455" s="140">
        <f>VLOOKUP(AK455,'[3]17見直し計画'!$A$50:$AJ$584,36,0)</f>
        <v>0</v>
      </c>
    </row>
    <row r="456" spans="1:47" ht="105" hidden="1" customHeight="1">
      <c r="A456" t="s">
        <v>148</v>
      </c>
      <c r="B456" s="126" t="s">
        <v>218</v>
      </c>
      <c r="C456" s="178" t="s">
        <v>135</v>
      </c>
      <c r="D456" s="143" t="s">
        <v>136</v>
      </c>
      <c r="E456">
        <f t="shared" si="37"/>
        <v>370</v>
      </c>
      <c r="F456" s="122">
        <v>18</v>
      </c>
      <c r="G456" s="123">
        <v>16</v>
      </c>
      <c r="H456" s="121">
        <v>2201216</v>
      </c>
      <c r="I456" s="424"/>
      <c r="J456" s="121" t="s">
        <v>2087</v>
      </c>
      <c r="K456" s="121" t="s">
        <v>501</v>
      </c>
      <c r="L456" s="121" t="s">
        <v>1987</v>
      </c>
      <c r="M456" s="121" t="s">
        <v>1461</v>
      </c>
      <c r="N456" s="127" t="s">
        <v>138</v>
      </c>
      <c r="O456" s="544" t="s">
        <v>139</v>
      </c>
      <c r="P456" s="321" t="s">
        <v>122</v>
      </c>
      <c r="Q456" s="428" t="s">
        <v>2088</v>
      </c>
      <c r="R456" s="426" t="s">
        <v>2089</v>
      </c>
      <c r="S456" s="429" t="s">
        <v>1816</v>
      </c>
      <c r="T456" s="554">
        <v>40466</v>
      </c>
      <c r="U456" s="426" t="s">
        <v>1926</v>
      </c>
      <c r="V456" s="426" t="s">
        <v>1927</v>
      </c>
      <c r="W456" s="452" t="s">
        <v>2090</v>
      </c>
      <c r="X456" s="432">
        <v>484053804</v>
      </c>
      <c r="Y456" s="432">
        <v>484053804</v>
      </c>
      <c r="Z456" s="433">
        <v>1</v>
      </c>
      <c r="AA456" s="439" t="s">
        <v>1445</v>
      </c>
      <c r="AB456" s="261"/>
      <c r="AC456" s="555" t="s">
        <v>2018</v>
      </c>
      <c r="AD456" s="123" t="s">
        <v>146</v>
      </c>
      <c r="AE456" s="138"/>
      <c r="AF456" s="125"/>
      <c r="AG456" s="436" t="s">
        <v>131</v>
      </c>
      <c r="AH456" s="437" t="str">
        <f t="shared" si="38"/>
        <v>0</v>
      </c>
      <c r="AJ456" s="120"/>
      <c r="AK456" s="120" t="s">
        <v>147</v>
      </c>
      <c r="AL456" s="232" t="str">
        <f>VLOOKUP(AK456,'[3]17見直し計画'!$A$50:$AJ$584,6,0)</f>
        <v>　見直し計画策定以降の新規案件</v>
      </c>
      <c r="AM456" s="140">
        <f>VLOOKUP(AK456,'[3]17見直し計画'!$A$50:$AJ$584,8,0)</f>
        <v>0</v>
      </c>
      <c r="AN456" s="180"/>
      <c r="AO456" s="141">
        <f>VLOOKUP(AK456,'[3]17見直し計画'!$A$50:$AJ$584,11,0)</f>
        <v>0</v>
      </c>
      <c r="AP456" s="140">
        <f>VLOOKUP(AK456,'[3]17見直し計画'!$A$50:$AJ$584,12,0)</f>
        <v>0</v>
      </c>
      <c r="AQ456" s="140">
        <f>VLOOKUP(AK456,'[3]17見直し計画'!$A$50:$AJ$584,13,0)</f>
        <v>0</v>
      </c>
      <c r="AR456" s="140">
        <f>VLOOKUP(AK456,'[3]17見直し計画'!$A$50:$AJ$584,14,0)</f>
        <v>0</v>
      </c>
      <c r="AS456" s="140"/>
      <c r="AT456" s="140">
        <f>VLOOKUP(AK456,'[3]17見直し計画'!$A$50:$AJ$584,35,0)</f>
        <v>0</v>
      </c>
      <c r="AU456" s="140">
        <f>VLOOKUP(AK456,'[3]17見直し計画'!$A$50:$AJ$584,36,0)</f>
        <v>0</v>
      </c>
    </row>
    <row r="457" spans="1:47" ht="105" hidden="1" customHeight="1">
      <c r="B457" s="126" t="s">
        <v>218</v>
      </c>
      <c r="C457" s="120" t="s">
        <v>135</v>
      </c>
      <c r="D457" s="120" t="s">
        <v>136</v>
      </c>
      <c r="E457">
        <f t="shared" si="37"/>
        <v>371</v>
      </c>
      <c r="F457" s="122">
        <v>19</v>
      </c>
      <c r="G457" s="123">
        <v>17</v>
      </c>
      <c r="H457" s="121">
        <v>2201164</v>
      </c>
      <c r="I457" s="424"/>
      <c r="J457" s="121" t="s">
        <v>2091</v>
      </c>
      <c r="K457" s="121" t="s">
        <v>286</v>
      </c>
      <c r="L457" s="121" t="s">
        <v>2092</v>
      </c>
      <c r="M457" s="121" t="s">
        <v>2093</v>
      </c>
      <c r="N457" s="127" t="s">
        <v>138</v>
      </c>
      <c r="O457" s="544" t="s">
        <v>139</v>
      </c>
      <c r="P457" s="321" t="s">
        <v>122</v>
      </c>
      <c r="Q457" s="428" t="s">
        <v>2094</v>
      </c>
      <c r="R457" s="426" t="s">
        <v>2095</v>
      </c>
      <c r="S457" s="429" t="s">
        <v>1816</v>
      </c>
      <c r="T457" s="554">
        <v>40466</v>
      </c>
      <c r="U457" s="426" t="s">
        <v>2096</v>
      </c>
      <c r="V457" s="426" t="s">
        <v>2097</v>
      </c>
      <c r="W457" s="452" t="s">
        <v>2098</v>
      </c>
      <c r="X457" s="432">
        <v>8514600</v>
      </c>
      <c r="Y457" s="432">
        <v>8514600</v>
      </c>
      <c r="Z457" s="433">
        <v>1</v>
      </c>
      <c r="AA457" s="439" t="s">
        <v>1445</v>
      </c>
      <c r="AB457" s="261"/>
      <c r="AC457" s="555" t="s">
        <v>2018</v>
      </c>
      <c r="AD457" s="123" t="s">
        <v>146</v>
      </c>
      <c r="AE457" s="138"/>
      <c r="AF457" s="125"/>
      <c r="AG457" s="436" t="s">
        <v>131</v>
      </c>
      <c r="AH457" s="437" t="str">
        <f t="shared" si="38"/>
        <v>0</v>
      </c>
      <c r="AJ457" s="120"/>
      <c r="AK457" s="120" t="s">
        <v>147</v>
      </c>
      <c r="AL457" s="232" t="str">
        <f>VLOOKUP(AK457,'[3]17見直し計画'!$A$50:$AJ$584,6,0)</f>
        <v>　見直し計画策定以降の新規案件</v>
      </c>
      <c r="AM457" s="140">
        <f>VLOOKUP(AK457,'[3]17見直し計画'!$A$50:$AJ$584,8,0)</f>
        <v>0</v>
      </c>
      <c r="AN457" s="180"/>
      <c r="AO457" s="141">
        <f>VLOOKUP(AK457,'[3]17見直し計画'!$A$50:$AJ$584,11,0)</f>
        <v>0</v>
      </c>
      <c r="AP457" s="140">
        <f>VLOOKUP(AK457,'[3]17見直し計画'!$A$50:$AJ$584,12,0)</f>
        <v>0</v>
      </c>
      <c r="AQ457" s="140">
        <f>VLOOKUP(AK457,'[3]17見直し計画'!$A$50:$AJ$584,13,0)</f>
        <v>0</v>
      </c>
      <c r="AR457" s="140">
        <f>VLOOKUP(AK457,'[3]17見直し計画'!$A$50:$AJ$584,14,0)</f>
        <v>0</v>
      </c>
      <c r="AS457" s="140"/>
      <c r="AT457" s="140">
        <f>VLOOKUP(AK457,'[3]17見直し計画'!$A$50:$AJ$584,35,0)</f>
        <v>0</v>
      </c>
      <c r="AU457" s="140">
        <f>VLOOKUP(AK457,'[3]17見直し計画'!$A$50:$AJ$584,36,0)</f>
        <v>0</v>
      </c>
    </row>
    <row r="458" spans="1:47" ht="105" hidden="1" customHeight="1">
      <c r="B458" s="126" t="s">
        <v>134</v>
      </c>
      <c r="C458" s="120" t="s">
        <v>135</v>
      </c>
      <c r="D458" s="120" t="s">
        <v>136</v>
      </c>
      <c r="E458">
        <f t="shared" si="37"/>
        <v>372</v>
      </c>
      <c r="F458" s="122">
        <v>20</v>
      </c>
      <c r="G458" s="123">
        <v>18</v>
      </c>
      <c r="H458" s="121">
        <v>2201075</v>
      </c>
      <c r="I458" s="424"/>
      <c r="J458" s="121" t="s">
        <v>2099</v>
      </c>
      <c r="K458" s="121" t="s">
        <v>195</v>
      </c>
      <c r="L458" s="121" t="s">
        <v>1182</v>
      </c>
      <c r="M458" s="121" t="s">
        <v>1183</v>
      </c>
      <c r="N458" s="127" t="s">
        <v>138</v>
      </c>
      <c r="O458" s="544" t="s">
        <v>139</v>
      </c>
      <c r="P458" s="321" t="s">
        <v>122</v>
      </c>
      <c r="Q458" s="428" t="s">
        <v>2100</v>
      </c>
      <c r="R458" s="426" t="s">
        <v>1505</v>
      </c>
      <c r="S458" s="429" t="s">
        <v>1816</v>
      </c>
      <c r="T458" s="554">
        <v>40466</v>
      </c>
      <c r="U458" s="426" t="s">
        <v>468</v>
      </c>
      <c r="V458" s="426" t="s">
        <v>469</v>
      </c>
      <c r="W458" s="452" t="s">
        <v>2101</v>
      </c>
      <c r="X458" s="432">
        <v>5325500</v>
      </c>
      <c r="Y458" s="432">
        <v>5083580</v>
      </c>
      <c r="Z458" s="433">
        <v>0.95399999999999996</v>
      </c>
      <c r="AA458" s="439" t="s">
        <v>1445</v>
      </c>
      <c r="AB458" s="261"/>
      <c r="AC458" s="555" t="s">
        <v>2018</v>
      </c>
      <c r="AD458" s="123" t="s">
        <v>146</v>
      </c>
      <c r="AE458" s="138"/>
      <c r="AF458" s="125"/>
      <c r="AG458" s="436" t="s">
        <v>131</v>
      </c>
      <c r="AH458" s="437" t="str">
        <f t="shared" si="38"/>
        <v>0</v>
      </c>
      <c r="AJ458" s="120"/>
      <c r="AK458" s="120" t="s">
        <v>147</v>
      </c>
      <c r="AL458" s="232" t="str">
        <f>VLOOKUP(AK458,'[3]17見直し計画'!$A$50:$AJ$584,6,0)</f>
        <v>　見直し計画策定以降の新規案件</v>
      </c>
      <c r="AM458" s="140">
        <f>VLOOKUP(AK458,'[3]17見直し計画'!$A$50:$AJ$584,8,0)</f>
        <v>0</v>
      </c>
      <c r="AN458" s="180"/>
      <c r="AO458" s="141">
        <f>VLOOKUP(AK458,'[3]17見直し計画'!$A$50:$AJ$584,11,0)</f>
        <v>0</v>
      </c>
      <c r="AP458" s="140">
        <f>VLOOKUP(AK458,'[3]17見直し計画'!$A$50:$AJ$584,12,0)</f>
        <v>0</v>
      </c>
      <c r="AQ458" s="140">
        <f>VLOOKUP(AK458,'[3]17見直し計画'!$A$50:$AJ$584,13,0)</f>
        <v>0</v>
      </c>
      <c r="AR458" s="140">
        <f>VLOOKUP(AK458,'[3]17見直し計画'!$A$50:$AJ$584,14,0)</f>
        <v>0</v>
      </c>
      <c r="AS458" s="140"/>
      <c r="AT458" s="140">
        <f>VLOOKUP(AK458,'[3]17見直し計画'!$A$50:$AJ$584,35,0)</f>
        <v>0</v>
      </c>
      <c r="AU458" s="140">
        <f>VLOOKUP(AK458,'[3]17見直し計画'!$A$50:$AJ$584,36,0)</f>
        <v>0</v>
      </c>
    </row>
    <row r="459" spans="1:47" ht="105" customHeight="1">
      <c r="A459" s="566" t="s">
        <v>148</v>
      </c>
      <c r="B459" s="126" t="s">
        <v>1495</v>
      </c>
      <c r="C459" s="120" t="s">
        <v>350</v>
      </c>
      <c r="D459" s="120" t="s">
        <v>477</v>
      </c>
      <c r="E459">
        <f t="shared" si="37"/>
        <v>373</v>
      </c>
      <c r="F459" s="567">
        <v>21</v>
      </c>
      <c r="G459" s="123">
        <v>19</v>
      </c>
      <c r="H459" s="121">
        <v>2201078</v>
      </c>
      <c r="I459" s="424"/>
      <c r="J459" s="121" t="s">
        <v>2102</v>
      </c>
      <c r="K459" s="121" t="s">
        <v>680</v>
      </c>
      <c r="L459" s="121" t="s">
        <v>1190</v>
      </c>
      <c r="M459" s="121" t="s">
        <v>2078</v>
      </c>
      <c r="N459" s="127" t="s">
        <v>138</v>
      </c>
      <c r="O459" s="544" t="s">
        <v>139</v>
      </c>
      <c r="P459" s="321" t="s">
        <v>122</v>
      </c>
      <c r="Q459" s="428" t="s">
        <v>2103</v>
      </c>
      <c r="R459" s="426" t="s">
        <v>2104</v>
      </c>
      <c r="S459" s="429" t="s">
        <v>1816</v>
      </c>
      <c r="T459" s="554">
        <v>40466</v>
      </c>
      <c r="U459" s="426" t="s">
        <v>1436</v>
      </c>
      <c r="V459" s="426" t="s">
        <v>1437</v>
      </c>
      <c r="W459" s="452" t="s">
        <v>1785</v>
      </c>
      <c r="X459" s="432">
        <v>1794330</v>
      </c>
      <c r="Y459" s="432">
        <v>1794330</v>
      </c>
      <c r="Z459" s="433">
        <v>1</v>
      </c>
      <c r="AA459" s="439" t="s">
        <v>1445</v>
      </c>
      <c r="AB459" s="261"/>
      <c r="AC459" s="555" t="s">
        <v>2018</v>
      </c>
      <c r="AD459" s="123" t="s">
        <v>146</v>
      </c>
      <c r="AE459" s="138"/>
      <c r="AF459" s="125"/>
      <c r="AG459" s="436" t="s">
        <v>131</v>
      </c>
      <c r="AH459" s="437" t="str">
        <f t="shared" si="38"/>
        <v>0</v>
      </c>
      <c r="AJ459" s="120"/>
      <c r="AK459" s="120" t="s">
        <v>147</v>
      </c>
      <c r="AL459" s="232" t="str">
        <f>VLOOKUP(AK459,'[3]17見直し計画'!$A$50:$AJ$584,6,0)</f>
        <v>　見直し計画策定以降の新規案件</v>
      </c>
      <c r="AM459" s="140">
        <f>VLOOKUP(AK459,'[3]17見直し計画'!$A$50:$AJ$584,8,0)</f>
        <v>0</v>
      </c>
      <c r="AN459" s="180"/>
      <c r="AO459" s="141">
        <f>VLOOKUP(AK459,'[3]17見直し計画'!$A$50:$AJ$584,11,0)</f>
        <v>0</v>
      </c>
      <c r="AP459" s="140">
        <f>VLOOKUP(AK459,'[3]17見直し計画'!$A$50:$AJ$584,12,0)</f>
        <v>0</v>
      </c>
      <c r="AQ459" s="140">
        <f>VLOOKUP(AK459,'[3]17見直し計画'!$A$50:$AJ$584,13,0)</f>
        <v>0</v>
      </c>
      <c r="AR459" s="140">
        <f>VLOOKUP(AK459,'[3]17見直し計画'!$A$50:$AJ$584,14,0)</f>
        <v>0</v>
      </c>
      <c r="AS459" s="140"/>
      <c r="AT459" s="140">
        <f>VLOOKUP(AK459,'[3]17見直し計画'!$A$50:$AJ$584,35,0)</f>
        <v>0</v>
      </c>
      <c r="AU459" s="140">
        <f>VLOOKUP(AK459,'[3]17見直し計画'!$A$50:$AJ$584,36,0)</f>
        <v>0</v>
      </c>
    </row>
    <row r="460" spans="1:47" ht="105" customHeight="1">
      <c r="A460" t="s">
        <v>148</v>
      </c>
      <c r="B460" s="126" t="s">
        <v>1495</v>
      </c>
      <c r="C460" s="120" t="s">
        <v>350</v>
      </c>
      <c r="D460" s="120" t="s">
        <v>477</v>
      </c>
      <c r="E460">
        <f t="shared" si="37"/>
        <v>374</v>
      </c>
      <c r="F460" s="567">
        <v>22</v>
      </c>
      <c r="G460" s="123">
        <v>21</v>
      </c>
      <c r="H460" s="121">
        <v>2201106</v>
      </c>
      <c r="I460" s="424"/>
      <c r="J460" s="121" t="s">
        <v>2105</v>
      </c>
      <c r="K460" s="121" t="s">
        <v>1222</v>
      </c>
      <c r="L460" s="121" t="s">
        <v>1190</v>
      </c>
      <c r="M460" s="121" t="s">
        <v>1448</v>
      </c>
      <c r="N460" s="127" t="s">
        <v>138</v>
      </c>
      <c r="O460" s="544" t="s">
        <v>139</v>
      </c>
      <c r="P460" s="321" t="s">
        <v>122</v>
      </c>
      <c r="Q460" s="428" t="s">
        <v>2106</v>
      </c>
      <c r="R460" s="426" t="s">
        <v>2107</v>
      </c>
      <c r="S460" s="429" t="s">
        <v>1816</v>
      </c>
      <c r="T460" s="554">
        <v>40470</v>
      </c>
      <c r="U460" s="426" t="s">
        <v>1436</v>
      </c>
      <c r="V460" s="426" t="s">
        <v>1437</v>
      </c>
      <c r="W460" s="452" t="s">
        <v>1785</v>
      </c>
      <c r="X460" s="432">
        <v>1767817</v>
      </c>
      <c r="Y460" s="568">
        <v>1767817</v>
      </c>
      <c r="Z460" s="433">
        <v>1</v>
      </c>
      <c r="AA460" s="439" t="s">
        <v>1445</v>
      </c>
      <c r="AB460" s="261"/>
      <c r="AC460" s="555" t="s">
        <v>2018</v>
      </c>
      <c r="AD460" s="123" t="s">
        <v>146</v>
      </c>
      <c r="AE460" s="138"/>
      <c r="AF460" s="125"/>
      <c r="AG460" s="436" t="s">
        <v>131</v>
      </c>
      <c r="AH460" s="437" t="str">
        <f t="shared" si="38"/>
        <v>0</v>
      </c>
      <c r="AJ460" s="120"/>
      <c r="AK460" s="120" t="s">
        <v>147</v>
      </c>
      <c r="AL460" s="232" t="str">
        <f>VLOOKUP(AK460,'[3]17見直し計画'!$A$50:$AJ$584,6,0)</f>
        <v>　見直し計画策定以降の新規案件</v>
      </c>
      <c r="AM460" s="140">
        <f>VLOOKUP(AK460,'[3]17見直し計画'!$A$50:$AJ$584,8,0)</f>
        <v>0</v>
      </c>
      <c r="AN460" s="180"/>
      <c r="AO460" s="141">
        <f>VLOOKUP(AK460,'[3]17見直し計画'!$A$50:$AJ$584,11,0)</f>
        <v>0</v>
      </c>
      <c r="AP460" s="140">
        <f>VLOOKUP(AK460,'[3]17見直し計画'!$A$50:$AJ$584,12,0)</f>
        <v>0</v>
      </c>
      <c r="AQ460" s="140">
        <f>VLOOKUP(AK460,'[3]17見直し計画'!$A$50:$AJ$584,13,0)</f>
        <v>0</v>
      </c>
      <c r="AR460" s="140">
        <f>VLOOKUP(AK460,'[3]17見直し計画'!$A$50:$AJ$584,14,0)</f>
        <v>0</v>
      </c>
      <c r="AS460" s="140"/>
      <c r="AT460" s="140">
        <f>VLOOKUP(AK460,'[3]17見直し計画'!$A$50:$AJ$584,35,0)</f>
        <v>0</v>
      </c>
      <c r="AU460" s="140">
        <f>VLOOKUP(AK460,'[3]17見直し計画'!$A$50:$AJ$584,36,0)</f>
        <v>0</v>
      </c>
    </row>
    <row r="461" spans="1:47" ht="105" hidden="1" customHeight="1">
      <c r="A461" s="569"/>
      <c r="B461" s="126" t="s">
        <v>134</v>
      </c>
      <c r="C461" s="120" t="s">
        <v>135</v>
      </c>
      <c r="D461" s="257" t="s">
        <v>136</v>
      </c>
      <c r="E461">
        <f>SUM(E460+1)</f>
        <v>375</v>
      </c>
      <c r="F461" s="122">
        <v>23</v>
      </c>
      <c r="G461" s="123">
        <v>22</v>
      </c>
      <c r="H461" s="121">
        <v>2201091</v>
      </c>
      <c r="I461" s="424"/>
      <c r="J461" s="121" t="s">
        <v>2108</v>
      </c>
      <c r="K461" s="121" t="s">
        <v>286</v>
      </c>
      <c r="L461" s="121" t="s">
        <v>1182</v>
      </c>
      <c r="M461" s="121" t="s">
        <v>1183</v>
      </c>
      <c r="N461" s="127" t="s">
        <v>138</v>
      </c>
      <c r="O461" s="544" t="s">
        <v>1022</v>
      </c>
      <c r="P461" s="321" t="s">
        <v>122</v>
      </c>
      <c r="Q461" s="428" t="s">
        <v>2109</v>
      </c>
      <c r="R461" s="426" t="s">
        <v>2110</v>
      </c>
      <c r="S461" s="429" t="s">
        <v>1816</v>
      </c>
      <c r="T461" s="554">
        <v>40471</v>
      </c>
      <c r="U461" s="426" t="s">
        <v>303</v>
      </c>
      <c r="V461" s="426" t="s">
        <v>304</v>
      </c>
      <c r="W461" s="452" t="s">
        <v>2111</v>
      </c>
      <c r="X461" s="432">
        <v>5341875</v>
      </c>
      <c r="Y461" s="432">
        <v>5341875</v>
      </c>
      <c r="Z461" s="433">
        <v>1</v>
      </c>
      <c r="AA461" s="434" t="s">
        <v>1445</v>
      </c>
      <c r="AB461" s="261"/>
      <c r="AC461" s="555" t="s">
        <v>2018</v>
      </c>
      <c r="AD461" s="123" t="s">
        <v>146</v>
      </c>
      <c r="AE461" s="138"/>
      <c r="AF461" s="125"/>
      <c r="AG461" s="436" t="s">
        <v>131</v>
      </c>
      <c r="AH461" s="437" t="str">
        <f t="shared" si="38"/>
        <v>0</v>
      </c>
      <c r="AJ461" s="120"/>
      <c r="AK461" s="120" t="s">
        <v>147</v>
      </c>
      <c r="AL461" s="232" t="str">
        <f>VLOOKUP(AK461,'[3]17見直し計画'!$A$50:$AJ$584,6,0)</f>
        <v>　見直し計画策定以降の新規案件</v>
      </c>
      <c r="AM461" s="140">
        <f>VLOOKUP(AK461,'[3]17見直し計画'!$A$50:$AJ$584,8,0)</f>
        <v>0</v>
      </c>
      <c r="AN461" s="180"/>
      <c r="AO461" s="141">
        <f>VLOOKUP(AK461,'[3]17見直し計画'!$A$50:$AJ$584,11,0)</f>
        <v>0</v>
      </c>
      <c r="AP461" s="140">
        <f>VLOOKUP(AK461,'[3]17見直し計画'!$A$50:$AJ$584,12,0)</f>
        <v>0</v>
      </c>
      <c r="AQ461" s="140">
        <f>VLOOKUP(AK461,'[3]17見直し計画'!$A$50:$AJ$584,13,0)</f>
        <v>0</v>
      </c>
      <c r="AR461" s="140">
        <f>VLOOKUP(AK461,'[3]17見直し計画'!$A$50:$AJ$584,14,0)</f>
        <v>0</v>
      </c>
      <c r="AS461" s="140"/>
      <c r="AT461" s="140">
        <f>VLOOKUP(AK461,'[3]17見直し計画'!$A$50:$AJ$584,35,0)</f>
        <v>0</v>
      </c>
      <c r="AU461" s="140">
        <f>VLOOKUP(AK461,'[3]17見直し計画'!$A$50:$AJ$584,36,0)</f>
        <v>0</v>
      </c>
    </row>
    <row r="462" spans="1:47" ht="105" hidden="1" customHeight="1">
      <c r="B462" s="126" t="s">
        <v>1644</v>
      </c>
      <c r="C462" s="120" t="s">
        <v>135</v>
      </c>
      <c r="D462" s="257" t="s">
        <v>136</v>
      </c>
      <c r="E462">
        <f t="shared" si="37"/>
        <v>376</v>
      </c>
      <c r="F462" s="122">
        <v>24</v>
      </c>
      <c r="G462" s="123">
        <v>23</v>
      </c>
      <c r="H462" s="121">
        <v>2201134</v>
      </c>
      <c r="I462" s="459"/>
      <c r="J462" s="121" t="s">
        <v>2112</v>
      </c>
      <c r="K462" s="121" t="s">
        <v>1510</v>
      </c>
      <c r="L462" s="121" t="s">
        <v>1190</v>
      </c>
      <c r="M462" s="121" t="s">
        <v>1191</v>
      </c>
      <c r="N462" s="127" t="s">
        <v>138</v>
      </c>
      <c r="O462" s="560" t="s">
        <v>139</v>
      </c>
      <c r="P462" s="321" t="s">
        <v>122</v>
      </c>
      <c r="Q462" s="428" t="s">
        <v>2113</v>
      </c>
      <c r="R462" s="460" t="s">
        <v>2114</v>
      </c>
      <c r="S462" s="429" t="s">
        <v>1816</v>
      </c>
      <c r="T462" s="554">
        <v>40472</v>
      </c>
      <c r="U462" s="460" t="s">
        <v>2115</v>
      </c>
      <c r="V462" s="460" t="s">
        <v>2116</v>
      </c>
      <c r="W462" s="465" t="s">
        <v>2117</v>
      </c>
      <c r="X462" s="466">
        <v>20026100</v>
      </c>
      <c r="Y462" s="466">
        <v>20026100</v>
      </c>
      <c r="Z462" s="433">
        <v>1</v>
      </c>
      <c r="AA462" s="467" t="s">
        <v>1445</v>
      </c>
      <c r="AB462" s="261"/>
      <c r="AC462" s="555" t="s">
        <v>2018</v>
      </c>
      <c r="AD462" s="123" t="s">
        <v>146</v>
      </c>
      <c r="AE462" s="138"/>
      <c r="AF462" s="125"/>
      <c r="AG462" s="436" t="s">
        <v>131</v>
      </c>
      <c r="AH462" s="437" t="str">
        <f t="shared" si="38"/>
        <v>0</v>
      </c>
      <c r="AJ462" s="120"/>
      <c r="AK462" s="120" t="s">
        <v>147</v>
      </c>
      <c r="AL462" s="232" t="str">
        <f>VLOOKUP(AK462,'[3]17見直し計画'!$A$50:$AJ$584,6,0)</f>
        <v>　見直し計画策定以降の新規案件</v>
      </c>
      <c r="AM462" s="140">
        <f>VLOOKUP(AK462,'[3]17見直し計画'!$A$50:$AJ$584,8,0)</f>
        <v>0</v>
      </c>
      <c r="AN462" s="180"/>
      <c r="AO462" s="141">
        <f>VLOOKUP(AK462,'[3]17見直し計画'!$A$50:$AJ$584,11,0)</f>
        <v>0</v>
      </c>
      <c r="AP462" s="140">
        <f>VLOOKUP(AK462,'[3]17見直し計画'!$A$50:$AJ$584,12,0)</f>
        <v>0</v>
      </c>
      <c r="AQ462" s="140">
        <f>VLOOKUP(AK462,'[3]17見直し計画'!$A$50:$AJ$584,13,0)</f>
        <v>0</v>
      </c>
      <c r="AR462" s="140">
        <f>VLOOKUP(AK462,'[3]17見直し計画'!$A$50:$AJ$584,14,0)</f>
        <v>0</v>
      </c>
      <c r="AS462" s="140"/>
      <c r="AT462" s="140">
        <f>VLOOKUP(AK462,'[3]17見直し計画'!$A$50:$AJ$584,35,0)</f>
        <v>0</v>
      </c>
      <c r="AU462" s="140">
        <f>VLOOKUP(AK462,'[3]17見直し計画'!$A$50:$AJ$584,36,0)</f>
        <v>0</v>
      </c>
    </row>
    <row r="463" spans="1:47" ht="105" hidden="1" customHeight="1">
      <c r="A463" t="s">
        <v>148</v>
      </c>
      <c r="B463" s="291" t="s">
        <v>218</v>
      </c>
      <c r="C463" s="178" t="s">
        <v>135</v>
      </c>
      <c r="D463" s="570" t="s">
        <v>136</v>
      </c>
      <c r="E463">
        <f t="shared" si="37"/>
        <v>377</v>
      </c>
      <c r="F463" s="122">
        <v>25</v>
      </c>
      <c r="G463" s="123">
        <v>24</v>
      </c>
      <c r="H463" s="121">
        <v>2201218</v>
      </c>
      <c r="I463" s="519"/>
      <c r="J463" s="121" t="s">
        <v>2118</v>
      </c>
      <c r="K463" s="121" t="s">
        <v>195</v>
      </c>
      <c r="L463" s="121" t="s">
        <v>1987</v>
      </c>
      <c r="M463" s="121" t="s">
        <v>1461</v>
      </c>
      <c r="N463" s="127" t="s">
        <v>138</v>
      </c>
      <c r="O463" s="544" t="s">
        <v>139</v>
      </c>
      <c r="P463" s="321" t="s">
        <v>122</v>
      </c>
      <c r="Q463" s="428" t="s">
        <v>2119</v>
      </c>
      <c r="R463" s="426" t="s">
        <v>2120</v>
      </c>
      <c r="S463" s="429" t="s">
        <v>1816</v>
      </c>
      <c r="T463" s="554">
        <v>40472</v>
      </c>
      <c r="U463" s="426" t="s">
        <v>222</v>
      </c>
      <c r="V463" s="426" t="s">
        <v>333</v>
      </c>
      <c r="W463" s="452" t="s">
        <v>2121</v>
      </c>
      <c r="X463" s="432">
        <v>4593330</v>
      </c>
      <c r="Y463" s="432">
        <v>4593330</v>
      </c>
      <c r="Z463" s="433">
        <v>1</v>
      </c>
      <c r="AA463" s="439" t="s">
        <v>1445</v>
      </c>
      <c r="AB463" s="571"/>
      <c r="AC463" s="555" t="s">
        <v>2018</v>
      </c>
      <c r="AD463" s="123" t="s">
        <v>146</v>
      </c>
      <c r="AE463" s="138"/>
      <c r="AF463" s="125"/>
      <c r="AG463" s="436" t="s">
        <v>131</v>
      </c>
      <c r="AH463" s="437" t="str">
        <f t="shared" si="38"/>
        <v>0</v>
      </c>
      <c r="AI463" s="177"/>
      <c r="AJ463" s="120"/>
      <c r="AK463" s="120" t="s">
        <v>147</v>
      </c>
      <c r="AL463" s="232" t="str">
        <f>VLOOKUP(AK463,'[3]17見直し計画'!$A$50:$AJ$584,6,0)</f>
        <v>　見直し計画策定以降の新規案件</v>
      </c>
      <c r="AM463" s="140">
        <f>VLOOKUP(AK463,'[3]17見直し計画'!$A$50:$AJ$584,8,0)</f>
        <v>0</v>
      </c>
      <c r="AN463" s="180"/>
      <c r="AO463" s="141">
        <f>VLOOKUP(AK463,'[3]17見直し計画'!$A$50:$AJ$584,11,0)</f>
        <v>0</v>
      </c>
      <c r="AP463" s="140">
        <f>VLOOKUP(AK463,'[3]17見直し計画'!$A$50:$AJ$584,12,0)</f>
        <v>0</v>
      </c>
      <c r="AQ463" s="140">
        <f>VLOOKUP(AK463,'[3]17見直し計画'!$A$50:$AJ$584,13,0)</f>
        <v>0</v>
      </c>
      <c r="AR463" s="140">
        <f>VLOOKUP(AK463,'[3]17見直し計画'!$A$50:$AJ$584,14,0)</f>
        <v>0</v>
      </c>
      <c r="AS463" s="140"/>
      <c r="AT463" s="140">
        <f>VLOOKUP(AK463,'[3]17見直し計画'!$A$50:$AJ$584,35,0)</f>
        <v>0</v>
      </c>
      <c r="AU463" s="140">
        <f>VLOOKUP(AK463,'[3]17見直し計画'!$A$50:$AJ$584,36,0)</f>
        <v>0</v>
      </c>
    </row>
    <row r="464" spans="1:47" ht="105" hidden="1" customHeight="1">
      <c r="B464" s="126" t="s">
        <v>134</v>
      </c>
      <c r="C464" s="120" t="s">
        <v>135</v>
      </c>
      <c r="D464" s="257" t="s">
        <v>136</v>
      </c>
      <c r="E464">
        <f t="shared" si="37"/>
        <v>378</v>
      </c>
      <c r="F464" s="122">
        <v>26</v>
      </c>
      <c r="G464" s="123">
        <v>25</v>
      </c>
      <c r="H464" s="121">
        <v>2201116</v>
      </c>
      <c r="I464" s="523"/>
      <c r="J464" s="121" t="s">
        <v>2122</v>
      </c>
      <c r="K464" s="121" t="s">
        <v>195</v>
      </c>
      <c r="L464" s="121" t="s">
        <v>1182</v>
      </c>
      <c r="M464" s="121" t="s">
        <v>1183</v>
      </c>
      <c r="N464" s="127" t="s">
        <v>138</v>
      </c>
      <c r="O464" s="562" t="s">
        <v>139</v>
      </c>
      <c r="P464" s="321" t="s">
        <v>122</v>
      </c>
      <c r="Q464" s="428" t="s">
        <v>2123</v>
      </c>
      <c r="R464" s="475" t="s">
        <v>2124</v>
      </c>
      <c r="S464" s="429" t="s">
        <v>1816</v>
      </c>
      <c r="T464" s="554">
        <v>40473</v>
      </c>
      <c r="U464" s="475" t="s">
        <v>845</v>
      </c>
      <c r="V464" s="475" t="s">
        <v>270</v>
      </c>
      <c r="W464" s="481" t="s">
        <v>1695</v>
      </c>
      <c r="X464" s="482">
        <v>14984970</v>
      </c>
      <c r="Y464" s="482">
        <v>14984970</v>
      </c>
      <c r="Z464" s="433">
        <v>1</v>
      </c>
      <c r="AA464" s="483" t="s">
        <v>1445</v>
      </c>
      <c r="AB464" s="572"/>
      <c r="AC464" s="555" t="s">
        <v>2018</v>
      </c>
      <c r="AD464" s="123" t="s">
        <v>146</v>
      </c>
      <c r="AE464" s="138"/>
      <c r="AF464" s="125"/>
      <c r="AG464" s="436" t="s">
        <v>131</v>
      </c>
      <c r="AH464" s="437" t="str">
        <f t="shared" si="38"/>
        <v>0</v>
      </c>
      <c r="AJ464" s="120"/>
      <c r="AK464" s="120" t="s">
        <v>2125</v>
      </c>
      <c r="AL464" s="232" t="str">
        <f>VLOOKUP(AK464,'[3]17見直し計画'!$A$50:$AJ$584,6,0)</f>
        <v>株式会社日立製作所　</v>
      </c>
      <c r="AM464" s="140" t="str">
        <f>VLOOKUP(AK464,'[3]17見直し計画'!$A$50:$AJ$584,8,0)</f>
        <v>外務省人事システム及び給与システム等に関する改造作業</v>
      </c>
      <c r="AN464" s="180">
        <f>VLOOKUP(AK464,'[3]17見直し計画'!$A$50:$AJ$584,10,0)</f>
        <v>38768</v>
      </c>
      <c r="AO464" s="141">
        <f>VLOOKUP(AK464,'[3]17見直し計画'!$A$50:$AJ$584,11,0)</f>
        <v>79800000</v>
      </c>
      <c r="AP464" s="140" t="str">
        <f>VLOOKUP(AK464,'[3]17見直し計画'!$A$50:$AJ$584,12,0)</f>
        <v>ホストコンピュータおよび各種システムを開発した同社に対し現存システムの一部改造業務を委託するものであり競争を許さない（会計法第２９条の３第４項、特定政令に該当）。</v>
      </c>
      <c r="AQ464" s="140" t="str">
        <f>VLOOKUP(AK464,'[3]17見直し計画'!$A$50:$AJ$584,13,0)</f>
        <v>見直しの余地があるもの</v>
      </c>
      <c r="AR464" s="140" t="str">
        <f>VLOOKUP(AK464,'[3]17見直し計画'!$A$50:$AJ$584,14,0)</f>
        <v>平成１９年度以降において当該事務・事業の委託等を実施しない</v>
      </c>
      <c r="AS464" s="140"/>
      <c r="AT464" s="140">
        <f>VLOOKUP(AK464,'[3]17見直し計画'!$A$50:$AJ$584,35,0)</f>
        <v>0</v>
      </c>
      <c r="AU464" s="140">
        <f>VLOOKUP(AK464,'[3]17見直し計画'!$A$50:$AJ$584,36,0)</f>
        <v>0</v>
      </c>
    </row>
    <row r="465" spans="1:47" ht="105" hidden="1" customHeight="1">
      <c r="B465" s="182"/>
      <c r="C465" s="182"/>
      <c r="D465" s="223" t="s">
        <v>421</v>
      </c>
      <c r="E465">
        <f t="shared" si="37"/>
        <v>379</v>
      </c>
      <c r="F465" s="185">
        <v>27</v>
      </c>
      <c r="G465" s="186">
        <v>26</v>
      </c>
      <c r="H465" s="183">
        <v>2200377</v>
      </c>
      <c r="I465" s="441"/>
      <c r="J465" s="183" t="s">
        <v>2126</v>
      </c>
      <c r="K465" s="183" t="s">
        <v>1269</v>
      </c>
      <c r="L465" s="183" t="s">
        <v>1190</v>
      </c>
      <c r="M465" s="183" t="s">
        <v>1191</v>
      </c>
      <c r="N465" s="190" t="s">
        <v>230</v>
      </c>
      <c r="O465" s="550" t="s">
        <v>139</v>
      </c>
      <c r="P465" s="328" t="s">
        <v>231</v>
      </c>
      <c r="Q465" s="444" t="s">
        <v>2127</v>
      </c>
      <c r="R465" s="442" t="s">
        <v>2128</v>
      </c>
      <c r="S465" s="445" t="s">
        <v>1816</v>
      </c>
      <c r="T465" s="551">
        <v>40473</v>
      </c>
      <c r="U465" s="442" t="s">
        <v>2129</v>
      </c>
      <c r="V465" s="442" t="s">
        <v>2130</v>
      </c>
      <c r="W465" s="447" t="s">
        <v>1643</v>
      </c>
      <c r="X465" s="409">
        <v>6200000</v>
      </c>
      <c r="Y465" s="409">
        <v>6189213</v>
      </c>
      <c r="Z465" s="448">
        <v>0.998</v>
      </c>
      <c r="AA465" s="449" t="s">
        <v>1445</v>
      </c>
      <c r="AB465" s="271"/>
      <c r="AC465" s="573">
        <v>3</v>
      </c>
      <c r="AD465" s="186" t="s">
        <v>237</v>
      </c>
      <c r="AE465" s="201"/>
      <c r="AF465" s="188"/>
      <c r="AG465" s="451" t="s">
        <v>131</v>
      </c>
      <c r="AH465" s="201" t="str">
        <f t="shared" si="38"/>
        <v>0</v>
      </c>
      <c r="AI465" s="184"/>
      <c r="AJ465" s="182"/>
      <c r="AK465" s="182" t="s">
        <v>147</v>
      </c>
      <c r="AL465" s="231" t="str">
        <f>VLOOKUP(AK465,'[3]17見直し計画'!$A$50:$AJ$584,6,0)</f>
        <v>　見直し計画策定以降の新規案件</v>
      </c>
      <c r="AM465" s="204">
        <f>VLOOKUP(AK465,'[3]17見直し計画'!$A$50:$AJ$584,8,0)</f>
        <v>0</v>
      </c>
      <c r="AN465" s="224"/>
      <c r="AO465" s="205">
        <f>VLOOKUP(AK465,'[3]17見直し計画'!$A$50:$AJ$584,11,0)</f>
        <v>0</v>
      </c>
      <c r="AP465" s="204">
        <f>VLOOKUP(AK465,'[3]17見直し計画'!$A$50:$AJ$584,12,0)</f>
        <v>0</v>
      </c>
      <c r="AQ465" s="204">
        <f>VLOOKUP(AK465,'[3]17見直し計画'!$A$50:$AJ$584,13,0)</f>
        <v>0</v>
      </c>
      <c r="AR465" s="204">
        <f>VLOOKUP(AK465,'[3]17見直し計画'!$A$50:$AJ$584,14,0)</f>
        <v>0</v>
      </c>
      <c r="AS465" s="204"/>
      <c r="AT465" s="204">
        <f>VLOOKUP(AK465,'[3]17見直し計画'!$A$50:$AJ$584,35,0)</f>
        <v>0</v>
      </c>
      <c r="AU465" s="204">
        <f>VLOOKUP(AK465,'[3]17見直し計画'!$A$50:$AJ$584,36,0)</f>
        <v>0</v>
      </c>
    </row>
    <row r="466" spans="1:47" ht="105" customHeight="1">
      <c r="A466" t="s">
        <v>148</v>
      </c>
      <c r="B466" s="126" t="s">
        <v>1779</v>
      </c>
      <c r="C466" s="120" t="s">
        <v>350</v>
      </c>
      <c r="D466" s="120" t="s">
        <v>477</v>
      </c>
      <c r="E466">
        <f t="shared" si="37"/>
        <v>380</v>
      </c>
      <c r="F466" s="122">
        <v>28</v>
      </c>
      <c r="G466" s="123">
        <v>27</v>
      </c>
      <c r="H466" s="121">
        <v>2201135</v>
      </c>
      <c r="I466" s="424"/>
      <c r="J466" s="121" t="s">
        <v>2131</v>
      </c>
      <c r="K466" s="121" t="s">
        <v>1222</v>
      </c>
      <c r="L466" s="121" t="s">
        <v>1190</v>
      </c>
      <c r="M466" s="121" t="s">
        <v>1448</v>
      </c>
      <c r="N466" s="127" t="s">
        <v>186</v>
      </c>
      <c r="O466" s="544" t="s">
        <v>187</v>
      </c>
      <c r="P466" s="321" t="s">
        <v>122</v>
      </c>
      <c r="Q466" s="428" t="s">
        <v>2132</v>
      </c>
      <c r="R466" s="426" t="s">
        <v>2133</v>
      </c>
      <c r="S466" s="429" t="s">
        <v>1816</v>
      </c>
      <c r="T466" s="554">
        <v>40473</v>
      </c>
      <c r="U466" s="426" t="s">
        <v>1783</v>
      </c>
      <c r="V466" s="426" t="s">
        <v>1784</v>
      </c>
      <c r="W466" s="452" t="s">
        <v>1785</v>
      </c>
      <c r="X466" s="432">
        <v>2406650</v>
      </c>
      <c r="Y466" s="432">
        <v>2406650</v>
      </c>
      <c r="Z466" s="433">
        <v>1</v>
      </c>
      <c r="AA466" s="439" t="s">
        <v>1445</v>
      </c>
      <c r="AB466" s="261"/>
      <c r="AC466" s="555" t="s">
        <v>2018</v>
      </c>
      <c r="AD466" s="123" t="s">
        <v>192</v>
      </c>
      <c r="AE466" s="138"/>
      <c r="AF466" s="125"/>
      <c r="AG466" s="436" t="s">
        <v>131</v>
      </c>
      <c r="AH466" s="437" t="str">
        <f t="shared" si="38"/>
        <v>0</v>
      </c>
      <c r="AJ466" s="120"/>
      <c r="AK466" s="120" t="s">
        <v>147</v>
      </c>
      <c r="AL466" s="232" t="str">
        <f>VLOOKUP(AK466,'[3]17見直し計画'!$A$50:$AJ$584,6,0)</f>
        <v>　見直し計画策定以降の新規案件</v>
      </c>
      <c r="AM466" s="140">
        <f>VLOOKUP(AK466,'[3]17見直し計画'!$A$50:$AJ$584,8,0)</f>
        <v>0</v>
      </c>
      <c r="AN466" s="180"/>
      <c r="AO466" s="141">
        <f>VLOOKUP(AK466,'[3]17見直し計画'!$A$50:$AJ$584,11,0)</f>
        <v>0</v>
      </c>
      <c r="AP466" s="140">
        <f>VLOOKUP(AK466,'[3]17見直し計画'!$A$50:$AJ$584,12,0)</f>
        <v>0</v>
      </c>
      <c r="AQ466" s="140">
        <f>VLOOKUP(AK466,'[3]17見直し計画'!$A$50:$AJ$584,13,0)</f>
        <v>0</v>
      </c>
      <c r="AR466" s="140">
        <f>VLOOKUP(AK466,'[3]17見直し計画'!$A$50:$AJ$584,14,0)</f>
        <v>0</v>
      </c>
      <c r="AS466" s="140"/>
      <c r="AT466" s="140">
        <f>VLOOKUP(AK466,'[3]17見直し計画'!$A$50:$AJ$584,35,0)</f>
        <v>0</v>
      </c>
      <c r="AU466" s="140">
        <f>VLOOKUP(AK466,'[3]17見直し計画'!$A$50:$AJ$584,36,0)</f>
        <v>0</v>
      </c>
    </row>
    <row r="467" spans="1:47" ht="105" customHeight="1">
      <c r="A467" t="s">
        <v>2134</v>
      </c>
      <c r="B467" s="126" t="s">
        <v>1495</v>
      </c>
      <c r="C467" s="120" t="s">
        <v>350</v>
      </c>
      <c r="D467" s="120" t="s">
        <v>477</v>
      </c>
      <c r="E467">
        <f t="shared" si="37"/>
        <v>381</v>
      </c>
      <c r="F467" s="122">
        <v>29</v>
      </c>
      <c r="G467" s="123">
        <v>28</v>
      </c>
      <c r="H467" s="121">
        <v>2201157</v>
      </c>
      <c r="I467" s="424"/>
      <c r="J467" s="121" t="s">
        <v>2135</v>
      </c>
      <c r="K467" s="121" t="s">
        <v>1222</v>
      </c>
      <c r="L467" s="121" t="s">
        <v>1190</v>
      </c>
      <c r="M467" s="121" t="s">
        <v>1448</v>
      </c>
      <c r="N467" s="127" t="s">
        <v>138</v>
      </c>
      <c r="O467" s="544" t="s">
        <v>139</v>
      </c>
      <c r="P467" s="321" t="s">
        <v>122</v>
      </c>
      <c r="Q467" s="428" t="s">
        <v>2136</v>
      </c>
      <c r="R467" s="426" t="s">
        <v>2137</v>
      </c>
      <c r="S467" s="429" t="s">
        <v>1816</v>
      </c>
      <c r="T467" s="554">
        <v>40476</v>
      </c>
      <c r="U467" s="426" t="s">
        <v>1498</v>
      </c>
      <c r="V467" s="426" t="s">
        <v>1499</v>
      </c>
      <c r="W467" s="452" t="s">
        <v>1785</v>
      </c>
      <c r="X467" s="432">
        <v>1686850</v>
      </c>
      <c r="Y467" s="432">
        <v>1686850</v>
      </c>
      <c r="Z467" s="433">
        <v>1</v>
      </c>
      <c r="AA467" s="439" t="s">
        <v>1445</v>
      </c>
      <c r="AB467" s="261"/>
      <c r="AC467" s="555" t="s">
        <v>2018</v>
      </c>
      <c r="AD467" s="123" t="s">
        <v>146</v>
      </c>
      <c r="AE467" s="138"/>
      <c r="AF467" s="125"/>
      <c r="AG467" s="436" t="s">
        <v>131</v>
      </c>
      <c r="AH467" s="437" t="str">
        <f t="shared" si="38"/>
        <v>0</v>
      </c>
      <c r="AJ467" s="120"/>
      <c r="AK467" s="120" t="s">
        <v>147</v>
      </c>
      <c r="AL467" s="232" t="str">
        <f>VLOOKUP(AK467,'[3]17見直し計画'!$A$50:$AJ$584,6,0)</f>
        <v>　見直し計画策定以降の新規案件</v>
      </c>
      <c r="AM467" s="140">
        <f>VLOOKUP(AK467,'[3]17見直し計画'!$A$50:$AJ$584,8,0)</f>
        <v>0</v>
      </c>
      <c r="AN467" s="180"/>
      <c r="AO467" s="141">
        <f>VLOOKUP(AK467,'[3]17見直し計画'!$A$50:$AJ$584,11,0)</f>
        <v>0</v>
      </c>
      <c r="AP467" s="140">
        <f>VLOOKUP(AK467,'[3]17見直し計画'!$A$50:$AJ$584,12,0)</f>
        <v>0</v>
      </c>
      <c r="AQ467" s="140">
        <f>VLOOKUP(AK467,'[3]17見直し計画'!$A$50:$AJ$584,13,0)</f>
        <v>0</v>
      </c>
      <c r="AR467" s="140">
        <f>VLOOKUP(AK467,'[3]17見直し計画'!$A$50:$AJ$584,14,0)</f>
        <v>0</v>
      </c>
      <c r="AS467" s="140"/>
      <c r="AT467" s="140">
        <f>VLOOKUP(AK467,'[3]17見直し計画'!$A$50:$AJ$584,35,0)</f>
        <v>0</v>
      </c>
      <c r="AU467" s="140">
        <f>VLOOKUP(AK467,'[3]17見直し計画'!$A$50:$AJ$584,36,0)</f>
        <v>0</v>
      </c>
    </row>
    <row r="468" spans="1:47" ht="105" customHeight="1">
      <c r="B468" s="126" t="s">
        <v>1495</v>
      </c>
      <c r="C468" s="143" t="s">
        <v>550</v>
      </c>
      <c r="D468" s="143" t="s">
        <v>351</v>
      </c>
      <c r="E468">
        <f t="shared" si="37"/>
        <v>382</v>
      </c>
      <c r="F468" s="122">
        <v>30</v>
      </c>
      <c r="G468" s="123">
        <v>29</v>
      </c>
      <c r="H468" s="121">
        <v>2201133</v>
      </c>
      <c r="I468" s="424"/>
      <c r="J468" s="121" t="s">
        <v>2138</v>
      </c>
      <c r="K468" s="121" t="s">
        <v>2139</v>
      </c>
      <c r="L468" s="121" t="s">
        <v>1190</v>
      </c>
      <c r="M468" s="121" t="s">
        <v>1191</v>
      </c>
      <c r="N468" s="127" t="s">
        <v>138</v>
      </c>
      <c r="O468" s="544" t="s">
        <v>139</v>
      </c>
      <c r="P468" s="321" t="s">
        <v>122</v>
      </c>
      <c r="Q468" s="428" t="s">
        <v>2140</v>
      </c>
      <c r="R468" s="426" t="s">
        <v>2141</v>
      </c>
      <c r="S468" s="429" t="s">
        <v>1816</v>
      </c>
      <c r="T468" s="554">
        <v>40476</v>
      </c>
      <c r="U468" s="426" t="s">
        <v>1383</v>
      </c>
      <c r="V468" s="426" t="s">
        <v>1384</v>
      </c>
      <c r="W468" s="452" t="s">
        <v>2142</v>
      </c>
      <c r="X468" s="432">
        <v>1676000</v>
      </c>
      <c r="Y468" s="432">
        <v>1537200</v>
      </c>
      <c r="Z468" s="433">
        <v>0.91700000000000004</v>
      </c>
      <c r="AA468" s="434" t="s">
        <v>1445</v>
      </c>
      <c r="AB468" s="261"/>
      <c r="AC468" s="555" t="s">
        <v>2018</v>
      </c>
      <c r="AD468" s="123" t="s">
        <v>146</v>
      </c>
      <c r="AE468" s="138"/>
      <c r="AF468" s="125"/>
      <c r="AG468" s="436" t="s">
        <v>131</v>
      </c>
      <c r="AH468" s="437" t="str">
        <f t="shared" si="38"/>
        <v>0</v>
      </c>
      <c r="AJ468" s="120"/>
      <c r="AK468" s="120" t="s">
        <v>147</v>
      </c>
      <c r="AL468" s="232" t="str">
        <f>VLOOKUP(AK468,'[3]17見直し計画'!$A$50:$AJ$584,6,0)</f>
        <v>　見直し計画策定以降の新規案件</v>
      </c>
      <c r="AM468" s="140">
        <f>VLOOKUP(AK468,'[3]17見直し計画'!$A$50:$AJ$584,8,0)</f>
        <v>0</v>
      </c>
      <c r="AN468" s="180"/>
      <c r="AO468" s="141">
        <f>VLOOKUP(AK468,'[3]17見直し計画'!$A$50:$AJ$584,11,0)</f>
        <v>0</v>
      </c>
      <c r="AP468" s="140">
        <f>VLOOKUP(AK468,'[3]17見直し計画'!$A$50:$AJ$584,12,0)</f>
        <v>0</v>
      </c>
      <c r="AQ468" s="140">
        <f>VLOOKUP(AK468,'[3]17見直し計画'!$A$50:$AJ$584,13,0)</f>
        <v>0</v>
      </c>
      <c r="AR468" s="140">
        <f>VLOOKUP(AK468,'[3]17見直し計画'!$A$50:$AJ$584,14,0)</f>
        <v>0</v>
      </c>
      <c r="AS468" s="140"/>
      <c r="AT468" s="140">
        <f>VLOOKUP(AK468,'[3]17見直し計画'!$A$50:$AJ$584,35,0)</f>
        <v>0</v>
      </c>
      <c r="AU468" s="140">
        <f>VLOOKUP(AK468,'[3]17見直し計画'!$A$50:$AJ$584,36,0)</f>
        <v>0</v>
      </c>
    </row>
    <row r="469" spans="1:47" ht="105" customHeight="1">
      <c r="B469" s="143" t="s">
        <v>2143</v>
      </c>
      <c r="C469" s="143" t="s">
        <v>550</v>
      </c>
      <c r="D469" s="143" t="s">
        <v>351</v>
      </c>
      <c r="E469">
        <f t="shared" si="37"/>
        <v>383</v>
      </c>
      <c r="F469" s="122">
        <v>31</v>
      </c>
      <c r="G469" s="123">
        <v>30</v>
      </c>
      <c r="H469" s="121">
        <v>2201124</v>
      </c>
      <c r="I469" s="424"/>
      <c r="J469" s="121" t="s">
        <v>2144</v>
      </c>
      <c r="K469" s="121" t="s">
        <v>195</v>
      </c>
      <c r="L469" s="121" t="s">
        <v>1182</v>
      </c>
      <c r="M469" s="121" t="s">
        <v>1183</v>
      </c>
      <c r="N469" s="127" t="s">
        <v>138</v>
      </c>
      <c r="O469" s="544" t="s">
        <v>139</v>
      </c>
      <c r="P469" s="321" t="s">
        <v>122</v>
      </c>
      <c r="Q469" s="428" t="s">
        <v>2145</v>
      </c>
      <c r="R469" s="426" t="s">
        <v>2146</v>
      </c>
      <c r="S469" s="429" t="s">
        <v>1816</v>
      </c>
      <c r="T469" s="554">
        <v>40477</v>
      </c>
      <c r="U469" s="426" t="s">
        <v>303</v>
      </c>
      <c r="V469" s="426" t="s">
        <v>304</v>
      </c>
      <c r="W469" s="452" t="s">
        <v>1695</v>
      </c>
      <c r="X469" s="432">
        <v>9996525</v>
      </c>
      <c r="Y469" s="432">
        <v>9996525</v>
      </c>
      <c r="Z469" s="433">
        <v>1</v>
      </c>
      <c r="AA469" s="434" t="s">
        <v>1445</v>
      </c>
      <c r="AB469" s="261"/>
      <c r="AC469" s="555" t="s">
        <v>2018</v>
      </c>
      <c r="AD469" s="123" t="s">
        <v>146</v>
      </c>
      <c r="AE469" s="138"/>
      <c r="AF469" s="125"/>
      <c r="AG469" s="436" t="s">
        <v>131</v>
      </c>
      <c r="AH469" s="437" t="str">
        <f t="shared" si="38"/>
        <v>0</v>
      </c>
      <c r="AJ469" s="120"/>
      <c r="AK469" s="120" t="s">
        <v>147</v>
      </c>
      <c r="AL469" s="232" t="str">
        <f>VLOOKUP(AK469,'[3]17見直し計画'!$A$50:$AJ$584,6,0)</f>
        <v>　見直し計画策定以降の新規案件</v>
      </c>
      <c r="AM469" s="140">
        <f>VLOOKUP(AK469,'[3]17見直し計画'!$A$50:$AJ$584,8,0)</f>
        <v>0</v>
      </c>
      <c r="AN469" s="180"/>
      <c r="AO469" s="141">
        <f>VLOOKUP(AK469,'[3]17見直し計画'!$A$50:$AJ$584,11,0)</f>
        <v>0</v>
      </c>
      <c r="AP469" s="140">
        <f>VLOOKUP(AK469,'[3]17見直し計画'!$A$50:$AJ$584,12,0)</f>
        <v>0</v>
      </c>
      <c r="AQ469" s="140">
        <f>VLOOKUP(AK469,'[3]17見直し計画'!$A$50:$AJ$584,13,0)</f>
        <v>0</v>
      </c>
      <c r="AR469" s="140">
        <f>VLOOKUP(AK469,'[3]17見直し計画'!$A$50:$AJ$584,14,0)</f>
        <v>0</v>
      </c>
      <c r="AS469" s="140"/>
      <c r="AT469" s="140">
        <f>VLOOKUP(AK469,'[3]17見直し計画'!$A$50:$AJ$584,35,0)</f>
        <v>0</v>
      </c>
      <c r="AU469" s="140">
        <f>VLOOKUP(AK469,'[3]17見直し計画'!$A$50:$AJ$584,36,0)</f>
        <v>0</v>
      </c>
    </row>
    <row r="470" spans="1:47" ht="105" hidden="1" customHeight="1">
      <c r="A470" t="s">
        <v>148</v>
      </c>
      <c r="B470" s="126" t="s">
        <v>218</v>
      </c>
      <c r="C470" s="178" t="s">
        <v>135</v>
      </c>
      <c r="D470" s="143" t="s">
        <v>136</v>
      </c>
      <c r="E470">
        <f>SUM(E469+1)</f>
        <v>384</v>
      </c>
      <c r="F470" s="122">
        <v>32</v>
      </c>
      <c r="G470" s="123">
        <v>31</v>
      </c>
      <c r="H470" s="121">
        <v>2201222</v>
      </c>
      <c r="I470" s="424"/>
      <c r="J470" s="121" t="s">
        <v>2147</v>
      </c>
      <c r="K470" s="121" t="s">
        <v>501</v>
      </c>
      <c r="L470" s="121" t="s">
        <v>1987</v>
      </c>
      <c r="M470" s="121" t="s">
        <v>1461</v>
      </c>
      <c r="N470" s="127" t="s">
        <v>138</v>
      </c>
      <c r="O470" s="544" t="s">
        <v>139</v>
      </c>
      <c r="P470" s="321" t="s">
        <v>122</v>
      </c>
      <c r="Q470" s="428" t="s">
        <v>2148</v>
      </c>
      <c r="R470" s="426" t="s">
        <v>2149</v>
      </c>
      <c r="S470" s="429" t="s">
        <v>1816</v>
      </c>
      <c r="T470" s="554">
        <v>40478</v>
      </c>
      <c r="U470" s="426" t="s">
        <v>2150</v>
      </c>
      <c r="V470" s="426" t="s">
        <v>2151</v>
      </c>
      <c r="W470" s="452" t="s">
        <v>2152</v>
      </c>
      <c r="X470" s="432">
        <v>17950651</v>
      </c>
      <c r="Y470" s="454">
        <v>7489916</v>
      </c>
      <c r="Z470" s="433">
        <v>1</v>
      </c>
      <c r="AA470" s="434" t="s">
        <v>1445</v>
      </c>
      <c r="AB470" s="261" t="s">
        <v>2153</v>
      </c>
      <c r="AC470" s="555" t="s">
        <v>2018</v>
      </c>
      <c r="AD470" s="123" t="s">
        <v>146</v>
      </c>
      <c r="AE470" s="138"/>
      <c r="AF470" s="125"/>
      <c r="AG470" s="436" t="s">
        <v>131</v>
      </c>
      <c r="AH470" s="437" t="str">
        <f t="shared" si="38"/>
        <v>0</v>
      </c>
      <c r="AJ470" s="120"/>
      <c r="AK470" s="120" t="s">
        <v>147</v>
      </c>
      <c r="AL470" s="232" t="str">
        <f>VLOOKUP(AK470,'[3]17見直し計画'!$A$50:$AJ$584,6,0)</f>
        <v>　見直し計画策定以降の新規案件</v>
      </c>
      <c r="AM470" s="140">
        <f>VLOOKUP(AK470,'[3]17見直し計画'!$A$50:$AJ$584,8,0)</f>
        <v>0</v>
      </c>
      <c r="AN470" s="180"/>
      <c r="AO470" s="141">
        <f>VLOOKUP(AK470,'[3]17見直し計画'!$A$50:$AJ$584,11,0)</f>
        <v>0</v>
      </c>
      <c r="AP470" s="140">
        <f>VLOOKUP(AK470,'[3]17見直し計画'!$A$50:$AJ$584,12,0)</f>
        <v>0</v>
      </c>
      <c r="AQ470" s="140">
        <f>VLOOKUP(AK470,'[3]17見直し計画'!$A$50:$AJ$584,13,0)</f>
        <v>0</v>
      </c>
      <c r="AR470" s="140">
        <f>VLOOKUP(AK470,'[3]17見直し計画'!$A$50:$AJ$584,14,0)</f>
        <v>0</v>
      </c>
      <c r="AS470" s="140"/>
      <c r="AT470" s="140">
        <f>VLOOKUP(AK470,'[3]17見直し計画'!$A$50:$AJ$584,35,0)</f>
        <v>0</v>
      </c>
      <c r="AU470" s="140">
        <f>VLOOKUP(AK470,'[3]17見直し計画'!$A$50:$AJ$584,36,0)</f>
        <v>0</v>
      </c>
    </row>
    <row r="471" spans="1:47" ht="105" hidden="1" customHeight="1">
      <c r="A471" t="s">
        <v>148</v>
      </c>
      <c r="B471" s="126" t="s">
        <v>218</v>
      </c>
      <c r="C471" s="178" t="s">
        <v>135</v>
      </c>
      <c r="D471" s="143" t="s">
        <v>136</v>
      </c>
      <c r="E471">
        <f t="shared" si="37"/>
        <v>385</v>
      </c>
      <c r="F471" s="122">
        <v>33</v>
      </c>
      <c r="G471" s="123">
        <v>32</v>
      </c>
      <c r="H471" s="121">
        <v>2201225</v>
      </c>
      <c r="I471" s="424"/>
      <c r="J471" s="121" t="s">
        <v>2154</v>
      </c>
      <c r="K471" s="121" t="s">
        <v>501</v>
      </c>
      <c r="L471" s="121" t="s">
        <v>1987</v>
      </c>
      <c r="M471" s="121" t="s">
        <v>1461</v>
      </c>
      <c r="N471" s="127" t="s">
        <v>138</v>
      </c>
      <c r="O471" s="544" t="s">
        <v>139</v>
      </c>
      <c r="P471" s="321" t="s">
        <v>122</v>
      </c>
      <c r="Q471" s="428" t="s">
        <v>2155</v>
      </c>
      <c r="R471" s="426" t="s">
        <v>2156</v>
      </c>
      <c r="S471" s="429" t="s">
        <v>1816</v>
      </c>
      <c r="T471" s="554">
        <v>40479</v>
      </c>
      <c r="U471" s="426" t="s">
        <v>2157</v>
      </c>
      <c r="V471" s="426" t="s">
        <v>2158</v>
      </c>
      <c r="W471" s="452" t="s">
        <v>2159</v>
      </c>
      <c r="X471" s="432">
        <v>1447727</v>
      </c>
      <c r="Y471" s="454">
        <v>651477</v>
      </c>
      <c r="Z471" s="433">
        <v>1</v>
      </c>
      <c r="AA471" s="434" t="s">
        <v>1445</v>
      </c>
      <c r="AB471" s="261" t="s">
        <v>2160</v>
      </c>
      <c r="AC471" s="555" t="s">
        <v>2018</v>
      </c>
      <c r="AD471" s="123" t="s">
        <v>146</v>
      </c>
      <c r="AE471" s="138"/>
      <c r="AF471" s="125"/>
      <c r="AG471" s="436" t="s">
        <v>131</v>
      </c>
      <c r="AH471" s="437" t="str">
        <f t="shared" si="38"/>
        <v>0</v>
      </c>
      <c r="AJ471" s="120"/>
      <c r="AK471" s="120" t="s">
        <v>147</v>
      </c>
      <c r="AL471" s="232" t="str">
        <f>VLOOKUP(AK471,'[3]17見直し計画'!$A$50:$AJ$584,6,0)</f>
        <v>　見直し計画策定以降の新規案件</v>
      </c>
      <c r="AM471" s="140">
        <f>VLOOKUP(AK471,'[3]17見直し計画'!$A$50:$AJ$584,8,0)</f>
        <v>0</v>
      </c>
      <c r="AN471" s="180"/>
      <c r="AO471" s="141">
        <f>VLOOKUP(AK471,'[3]17見直し計画'!$A$50:$AJ$584,11,0)</f>
        <v>0</v>
      </c>
      <c r="AP471" s="140">
        <f>VLOOKUP(AK471,'[3]17見直し計画'!$A$50:$AJ$584,12,0)</f>
        <v>0</v>
      </c>
      <c r="AQ471" s="140">
        <f>VLOOKUP(AK471,'[3]17見直し計画'!$A$50:$AJ$584,13,0)</f>
        <v>0</v>
      </c>
      <c r="AR471" s="140">
        <f>VLOOKUP(AK471,'[3]17見直し計画'!$A$50:$AJ$584,14,0)</f>
        <v>0</v>
      </c>
      <c r="AS471" s="140"/>
      <c r="AT471" s="140">
        <f>VLOOKUP(AK471,'[3]17見直し計画'!$A$50:$AJ$584,35,0)</f>
        <v>0</v>
      </c>
      <c r="AU471" s="140">
        <f>VLOOKUP(AK471,'[3]17見直し計画'!$A$50:$AJ$584,36,0)</f>
        <v>0</v>
      </c>
    </row>
    <row r="472" spans="1:47" ht="105" hidden="1" customHeight="1">
      <c r="A472" t="s">
        <v>148</v>
      </c>
      <c r="B472" s="126" t="s">
        <v>218</v>
      </c>
      <c r="C472" s="178" t="s">
        <v>135</v>
      </c>
      <c r="D472" s="143" t="s">
        <v>136</v>
      </c>
      <c r="E472">
        <f t="shared" si="37"/>
        <v>386</v>
      </c>
      <c r="F472" s="122">
        <v>34</v>
      </c>
      <c r="G472" s="123">
        <v>33</v>
      </c>
      <c r="H472" s="121">
        <v>2201224</v>
      </c>
      <c r="I472" s="424"/>
      <c r="J472" s="121" t="s">
        <v>2161</v>
      </c>
      <c r="K472" s="121" t="s">
        <v>501</v>
      </c>
      <c r="L472" s="121" t="s">
        <v>1987</v>
      </c>
      <c r="M472" s="121" t="s">
        <v>1461</v>
      </c>
      <c r="N472" s="127" t="s">
        <v>138</v>
      </c>
      <c r="O472" s="544" t="s">
        <v>139</v>
      </c>
      <c r="P472" s="321" t="s">
        <v>122</v>
      </c>
      <c r="Q472" s="428" t="s">
        <v>2162</v>
      </c>
      <c r="R472" s="426" t="s">
        <v>2163</v>
      </c>
      <c r="S472" s="429" t="s">
        <v>1816</v>
      </c>
      <c r="T472" s="554">
        <v>40480</v>
      </c>
      <c r="U472" s="426" t="s">
        <v>1926</v>
      </c>
      <c r="V472" s="426" t="s">
        <v>1927</v>
      </c>
      <c r="W472" s="452" t="s">
        <v>2164</v>
      </c>
      <c r="X472" s="432">
        <v>621611577</v>
      </c>
      <c r="Y472" s="454">
        <v>265046433</v>
      </c>
      <c r="Z472" s="433">
        <v>1</v>
      </c>
      <c r="AA472" s="434" t="s">
        <v>1445</v>
      </c>
      <c r="AB472" s="261" t="s">
        <v>2165</v>
      </c>
      <c r="AC472" s="555" t="s">
        <v>2018</v>
      </c>
      <c r="AD472" s="123" t="s">
        <v>146</v>
      </c>
      <c r="AE472" s="138"/>
      <c r="AF472" s="125"/>
      <c r="AG472" s="436" t="s">
        <v>131</v>
      </c>
      <c r="AH472" s="437" t="str">
        <f t="shared" si="38"/>
        <v>0</v>
      </c>
      <c r="AJ472" s="120"/>
      <c r="AK472" s="120" t="s">
        <v>147</v>
      </c>
      <c r="AL472" s="232" t="str">
        <f>VLOOKUP(AK472,'[3]17見直し計画'!$A$50:$AJ$584,6,0)</f>
        <v>　見直し計画策定以降の新規案件</v>
      </c>
      <c r="AM472" s="140">
        <f>VLOOKUP(AK472,'[3]17見直し計画'!$A$50:$AJ$584,8,0)</f>
        <v>0</v>
      </c>
      <c r="AN472" s="180"/>
      <c r="AO472" s="141">
        <f>VLOOKUP(AK472,'[3]17見直し計画'!$A$50:$AJ$584,11,0)</f>
        <v>0</v>
      </c>
      <c r="AP472" s="140">
        <f>VLOOKUP(AK472,'[3]17見直し計画'!$A$50:$AJ$584,12,0)</f>
        <v>0</v>
      </c>
      <c r="AQ472" s="140">
        <f>VLOOKUP(AK472,'[3]17見直し計画'!$A$50:$AJ$584,13,0)</f>
        <v>0</v>
      </c>
      <c r="AR472" s="140">
        <f>VLOOKUP(AK472,'[3]17見直し計画'!$A$50:$AJ$584,14,0)</f>
        <v>0</v>
      </c>
      <c r="AS472" s="140"/>
      <c r="AT472" s="140">
        <f>VLOOKUP(AK472,'[3]17見直し計画'!$A$50:$AJ$584,35,0)</f>
        <v>0</v>
      </c>
      <c r="AU472" s="140">
        <f>VLOOKUP(AK472,'[3]17見直し計画'!$A$50:$AJ$584,36,0)</f>
        <v>0</v>
      </c>
    </row>
    <row r="473" spans="1:47" ht="105" hidden="1" customHeight="1">
      <c r="A473" t="s">
        <v>148</v>
      </c>
      <c r="B473" s="126" t="s">
        <v>218</v>
      </c>
      <c r="C473" s="178" t="s">
        <v>135</v>
      </c>
      <c r="D473" s="143" t="s">
        <v>136</v>
      </c>
      <c r="E473">
        <f t="shared" si="37"/>
        <v>387</v>
      </c>
      <c r="F473" s="122">
        <v>35</v>
      </c>
      <c r="G473" s="123">
        <v>34</v>
      </c>
      <c r="H473" s="121">
        <v>2201248</v>
      </c>
      <c r="I473" s="424"/>
      <c r="J473" s="121" t="s">
        <v>2166</v>
      </c>
      <c r="K473" s="121" t="s">
        <v>501</v>
      </c>
      <c r="L473" s="121" t="s">
        <v>2051</v>
      </c>
      <c r="M473" s="121" t="s">
        <v>1655</v>
      </c>
      <c r="N473" s="127" t="s">
        <v>138</v>
      </c>
      <c r="O473" s="544" t="s">
        <v>139</v>
      </c>
      <c r="P473" s="321" t="s">
        <v>122</v>
      </c>
      <c r="Q473" s="428" t="s">
        <v>2167</v>
      </c>
      <c r="R473" s="426" t="s">
        <v>2168</v>
      </c>
      <c r="S473" s="429" t="s">
        <v>1816</v>
      </c>
      <c r="T473" s="554">
        <v>40480</v>
      </c>
      <c r="U473" s="426" t="s">
        <v>2054</v>
      </c>
      <c r="V473" s="426" t="s">
        <v>2055</v>
      </c>
      <c r="W473" s="452" t="s">
        <v>2169</v>
      </c>
      <c r="X473" s="432">
        <v>2330117</v>
      </c>
      <c r="Y473" s="454">
        <v>1048552</v>
      </c>
      <c r="Z473" s="433">
        <v>1</v>
      </c>
      <c r="AA473" s="434" t="s">
        <v>1445</v>
      </c>
      <c r="AB473" s="261" t="s">
        <v>2170</v>
      </c>
      <c r="AC473" s="555" t="s">
        <v>2018</v>
      </c>
      <c r="AD473" s="123" t="s">
        <v>146</v>
      </c>
      <c r="AE473" s="138"/>
      <c r="AF473" s="125"/>
      <c r="AG473" s="436" t="s">
        <v>131</v>
      </c>
      <c r="AH473" s="437" t="str">
        <f t="shared" si="38"/>
        <v>0</v>
      </c>
      <c r="AI473" s="177"/>
      <c r="AJ473" s="120"/>
      <c r="AK473" s="120" t="s">
        <v>147</v>
      </c>
      <c r="AL473" s="232" t="str">
        <f>VLOOKUP(AK473,'[3]17見直し計画'!$A$50:$AJ$584,6,0)</f>
        <v>　見直し計画策定以降の新規案件</v>
      </c>
      <c r="AM473" s="140">
        <f>VLOOKUP(AK473,'[3]17見直し計画'!$A$50:$AJ$584,8,0)</f>
        <v>0</v>
      </c>
      <c r="AN473" s="180"/>
      <c r="AO473" s="141">
        <f>VLOOKUP(AK473,'[3]17見直し計画'!$A$50:$AJ$584,11,0)</f>
        <v>0</v>
      </c>
      <c r="AP473" s="140">
        <f>VLOOKUP(AK473,'[3]17見直し計画'!$A$50:$AJ$584,12,0)</f>
        <v>0</v>
      </c>
      <c r="AQ473" s="140">
        <f>VLOOKUP(AK473,'[3]17見直し計画'!$A$50:$AJ$584,13,0)</f>
        <v>0</v>
      </c>
      <c r="AR473" s="140">
        <f>VLOOKUP(AK473,'[3]17見直し計画'!$A$50:$AJ$584,14,0)</f>
        <v>0</v>
      </c>
      <c r="AS473" s="140"/>
      <c r="AT473" s="140">
        <f>VLOOKUP(AK473,'[3]17見直し計画'!$A$50:$AJ$584,35,0)</f>
        <v>0</v>
      </c>
      <c r="AU473" s="140">
        <f>VLOOKUP(AK473,'[3]17見直し計画'!$A$50:$AJ$584,36,0)</f>
        <v>0</v>
      </c>
    </row>
    <row r="474" spans="1:47" ht="105" hidden="1" customHeight="1">
      <c r="A474" t="s">
        <v>148</v>
      </c>
      <c r="B474" s="126" t="s">
        <v>218</v>
      </c>
      <c r="C474" s="178" t="s">
        <v>135</v>
      </c>
      <c r="D474" s="143" t="s">
        <v>136</v>
      </c>
      <c r="E474">
        <f t="shared" si="37"/>
        <v>388</v>
      </c>
      <c r="F474" s="122">
        <v>36</v>
      </c>
      <c r="G474" s="123">
        <v>35</v>
      </c>
      <c r="H474" s="121">
        <v>2201223</v>
      </c>
      <c r="I474" s="459"/>
      <c r="J474" s="121" t="s">
        <v>2171</v>
      </c>
      <c r="K474" s="121" t="s">
        <v>501</v>
      </c>
      <c r="L474" s="121" t="s">
        <v>1987</v>
      </c>
      <c r="M474" s="121" t="s">
        <v>1655</v>
      </c>
      <c r="N474" s="127" t="s">
        <v>138</v>
      </c>
      <c r="O474" s="560" t="s">
        <v>139</v>
      </c>
      <c r="P474" s="321" t="s">
        <v>122</v>
      </c>
      <c r="Q474" s="428" t="s">
        <v>2172</v>
      </c>
      <c r="R474" s="460" t="s">
        <v>2173</v>
      </c>
      <c r="S474" s="429" t="s">
        <v>1816</v>
      </c>
      <c r="T474" s="554">
        <v>40480</v>
      </c>
      <c r="U474" s="460" t="s">
        <v>2174</v>
      </c>
      <c r="V474" s="460" t="s">
        <v>2001</v>
      </c>
      <c r="W474" s="465" t="s">
        <v>2152</v>
      </c>
      <c r="X474" s="466">
        <v>2688289</v>
      </c>
      <c r="Y474" s="574">
        <v>1058536</v>
      </c>
      <c r="Z474" s="433">
        <v>0.69599999999999995</v>
      </c>
      <c r="AA474" s="528" t="s">
        <v>1445</v>
      </c>
      <c r="AB474" s="261" t="s">
        <v>2175</v>
      </c>
      <c r="AC474" s="555" t="s">
        <v>2018</v>
      </c>
      <c r="AD474" s="123" t="s">
        <v>146</v>
      </c>
      <c r="AE474" s="138"/>
      <c r="AF474" s="125"/>
      <c r="AG474" s="436" t="s">
        <v>131</v>
      </c>
      <c r="AH474" s="437" t="str">
        <f t="shared" si="38"/>
        <v>0</v>
      </c>
      <c r="AJ474" s="120"/>
      <c r="AK474" s="120" t="s">
        <v>147</v>
      </c>
      <c r="AL474" s="232" t="str">
        <f>VLOOKUP(AK474,'[3]17見直し計画'!$A$50:$AJ$584,6,0)</f>
        <v>　見直し計画策定以降の新規案件</v>
      </c>
      <c r="AM474" s="140">
        <f>VLOOKUP(AK474,'[3]17見直し計画'!$A$50:$AJ$584,8,0)</f>
        <v>0</v>
      </c>
      <c r="AN474" s="180"/>
      <c r="AO474" s="141">
        <f>VLOOKUP(AK474,'[3]17見直し計画'!$A$50:$AJ$584,11,0)</f>
        <v>0</v>
      </c>
      <c r="AP474" s="140">
        <f>VLOOKUP(AK474,'[3]17見直し計画'!$A$50:$AJ$584,12,0)</f>
        <v>0</v>
      </c>
      <c r="AQ474" s="140">
        <f>VLOOKUP(AK474,'[3]17見直し計画'!$A$50:$AJ$584,13,0)</f>
        <v>0</v>
      </c>
      <c r="AR474" s="140">
        <f>VLOOKUP(AK474,'[3]17見直し計画'!$A$50:$AJ$584,14,0)</f>
        <v>0</v>
      </c>
      <c r="AS474" s="140"/>
      <c r="AT474" s="140">
        <f>VLOOKUP(AK474,'[3]17見直し計画'!$A$50:$AJ$584,35,0)</f>
        <v>0</v>
      </c>
      <c r="AU474" s="140">
        <f>VLOOKUP(AK474,'[3]17見直し計画'!$A$50:$AJ$584,36,0)</f>
        <v>0</v>
      </c>
    </row>
    <row r="475" spans="1:47" ht="105" customHeight="1">
      <c r="A475" t="s">
        <v>148</v>
      </c>
      <c r="B475" s="126" t="s">
        <v>1495</v>
      </c>
      <c r="C475" s="120" t="s">
        <v>350</v>
      </c>
      <c r="D475" s="120" t="s">
        <v>477</v>
      </c>
      <c r="E475">
        <f t="shared" si="37"/>
        <v>389</v>
      </c>
      <c r="F475" s="122">
        <v>37</v>
      </c>
      <c r="G475" s="123">
        <v>36</v>
      </c>
      <c r="H475" s="121">
        <v>2201169</v>
      </c>
      <c r="I475" s="424"/>
      <c r="J475" s="121" t="s">
        <v>2176</v>
      </c>
      <c r="K475" s="121" t="s">
        <v>1773</v>
      </c>
      <c r="L475" s="121" t="s">
        <v>1190</v>
      </c>
      <c r="M475" s="121" t="s">
        <v>1191</v>
      </c>
      <c r="N475" s="127" t="s">
        <v>138</v>
      </c>
      <c r="O475" s="544" t="s">
        <v>139</v>
      </c>
      <c r="P475" s="321" t="s">
        <v>122</v>
      </c>
      <c r="Q475" s="428" t="s">
        <v>2177</v>
      </c>
      <c r="R475" s="426" t="s">
        <v>2178</v>
      </c>
      <c r="S475" s="429" t="s">
        <v>1816</v>
      </c>
      <c r="T475" s="554">
        <v>40480</v>
      </c>
      <c r="U475" s="426" t="s">
        <v>2179</v>
      </c>
      <c r="V475" s="426" t="s">
        <v>1499</v>
      </c>
      <c r="W475" s="452" t="s">
        <v>2180</v>
      </c>
      <c r="X475" s="432">
        <v>1394975</v>
      </c>
      <c r="Y475" s="432">
        <v>1394975</v>
      </c>
      <c r="Z475" s="433">
        <v>1</v>
      </c>
      <c r="AA475" s="434" t="s">
        <v>1445</v>
      </c>
      <c r="AB475" s="261"/>
      <c r="AC475" s="555" t="s">
        <v>2018</v>
      </c>
      <c r="AD475" s="123" t="s">
        <v>146</v>
      </c>
      <c r="AE475" s="138"/>
      <c r="AF475" s="125"/>
      <c r="AG475" s="436" t="s">
        <v>131</v>
      </c>
      <c r="AH475" s="437" t="str">
        <f t="shared" si="38"/>
        <v>0</v>
      </c>
      <c r="AJ475" s="120"/>
      <c r="AK475" s="120" t="s">
        <v>147</v>
      </c>
      <c r="AL475" s="232" t="str">
        <f>VLOOKUP(AK475,'[3]17見直し計画'!$A$50:$AJ$584,6,0)</f>
        <v>　見直し計画策定以降の新規案件</v>
      </c>
      <c r="AM475" s="140">
        <f>VLOOKUP(AK475,'[3]17見直し計画'!$A$50:$AJ$584,8,0)</f>
        <v>0</v>
      </c>
      <c r="AN475" s="180"/>
      <c r="AO475" s="141">
        <f>VLOOKUP(AK475,'[3]17見直し計画'!$A$50:$AJ$584,11,0)</f>
        <v>0</v>
      </c>
      <c r="AP475" s="140">
        <f>VLOOKUP(AK475,'[3]17見直し計画'!$A$50:$AJ$584,12,0)</f>
        <v>0</v>
      </c>
      <c r="AQ475" s="140">
        <f>VLOOKUP(AK475,'[3]17見直し計画'!$A$50:$AJ$584,13,0)</f>
        <v>0</v>
      </c>
      <c r="AR475" s="140">
        <f>VLOOKUP(AK475,'[3]17見直し計画'!$A$50:$AJ$584,14,0)</f>
        <v>0</v>
      </c>
      <c r="AS475" s="140"/>
      <c r="AT475" s="140">
        <f>VLOOKUP(AK475,'[3]17見直し計画'!$A$50:$AJ$584,35,0)</f>
        <v>0</v>
      </c>
      <c r="AU475" s="140">
        <f>VLOOKUP(AK475,'[3]17見直し計画'!$A$50:$AJ$584,36,0)</f>
        <v>0</v>
      </c>
    </row>
    <row r="476" spans="1:47" ht="105" hidden="1" customHeight="1">
      <c r="B476" s="575" t="s">
        <v>284</v>
      </c>
      <c r="C476" s="576" t="s">
        <v>135</v>
      </c>
      <c r="D476" s="226" t="s">
        <v>136</v>
      </c>
      <c r="E476">
        <f>SUM(E475+1)</f>
        <v>390</v>
      </c>
      <c r="F476" s="122">
        <v>1</v>
      </c>
      <c r="G476" s="123">
        <v>1</v>
      </c>
      <c r="H476" s="577">
        <v>2201142</v>
      </c>
      <c r="I476" s="424"/>
      <c r="J476" s="577"/>
      <c r="K476" s="577" t="s">
        <v>345</v>
      </c>
      <c r="L476" s="577" t="s">
        <v>2181</v>
      </c>
      <c r="M476" s="577" t="s">
        <v>2182</v>
      </c>
      <c r="N476" s="578" t="s">
        <v>138</v>
      </c>
      <c r="O476" s="579" t="s">
        <v>139</v>
      </c>
      <c r="P476" s="321" t="s">
        <v>122</v>
      </c>
      <c r="Q476" s="428" t="s">
        <v>2183</v>
      </c>
      <c r="R476" s="426" t="s">
        <v>2184</v>
      </c>
      <c r="S476" s="429" t="s">
        <v>1816</v>
      </c>
      <c r="T476" s="580">
        <v>40483</v>
      </c>
      <c r="U476" s="426" t="s">
        <v>2185</v>
      </c>
      <c r="V476" s="426" t="s">
        <v>2186</v>
      </c>
      <c r="W476" s="426" t="s">
        <v>2187</v>
      </c>
      <c r="X476" s="581">
        <v>10969591</v>
      </c>
      <c r="Y476" s="432">
        <v>10969591</v>
      </c>
      <c r="Z476" s="433">
        <f>ROUNDDOWN(Y476/X476,3)</f>
        <v>1</v>
      </c>
      <c r="AA476" s="434" t="s">
        <v>1445</v>
      </c>
      <c r="AB476" s="426"/>
      <c r="AC476" s="548" t="s">
        <v>1445</v>
      </c>
      <c r="AD476" s="582" t="s">
        <v>146</v>
      </c>
      <c r="AE476" s="582"/>
      <c r="AF476" s="582"/>
      <c r="AG476" s="321" t="s">
        <v>1636</v>
      </c>
      <c r="AH476" s="437" t="str">
        <f>IF(AV476="-","0",IF(AV476="一者応札","1",IF(AV476=0,"0",IF(AV476=1,"1",IF(AV476=2,"2",IF(AV476=3,"3",IF(AV476&gt;3,"3","")))))))</f>
        <v>0</v>
      </c>
      <c r="AJ476" s="120"/>
      <c r="AK476" s="120" t="s">
        <v>2188</v>
      </c>
      <c r="AL476" s="232" t="str">
        <f>VLOOKUP(AK476,'[3]17見直し計画'!$A$50:$AJ$584,6,0)</f>
        <v>カガミクリスタル株式会社</v>
      </c>
      <c r="AM476" s="140" t="str">
        <f>VLOOKUP(AK476,'[3]17見直し計画'!$A$50:$AJ$584,8,0)</f>
        <v>在外公館向け公邸用規格食器の作成</v>
      </c>
      <c r="AN476" s="180">
        <f>VLOOKUP(AK476,'[3]17見直し計画'!$A$50:$AJ$584,10,0)</f>
        <v>38674</v>
      </c>
      <c r="AO476" s="141">
        <f>VLOOKUP(AK476,'[3]17見直し計画'!$A$50:$AJ$584,11,0)</f>
        <v>3217284</v>
      </c>
      <c r="AP476" s="140" t="str">
        <f>VLOOKUP(AK476,'[3]17見直し計画'!$A$50:$AJ$584,12,0)</f>
        <v>本件は、全在外公館統一規格で配備している食器類の発注である。本件食器の「型」は業者が保管して、１個の発注にも備えており、効率性、価格面から考えても他に競争を許さない（会計法第２９条の３第４項）。</v>
      </c>
      <c r="AQ476" s="140" t="str">
        <f>VLOOKUP(AK476,'[3]17見直し計画'!$A$50:$AJ$584,13,0)</f>
        <v>見直しの余地があるもの</v>
      </c>
      <c r="AR476" s="140" t="str">
        <f>VLOOKUP(AK476,'[3]17見直し計画'!$A$50:$AJ$584,14,0)</f>
        <v>コスト面を考慮しつつ、競争入札等に移行できるかどうかにつき検討中。</v>
      </c>
      <c r="AS476" s="140"/>
      <c r="AT476" s="140" t="str">
        <f>VLOOKUP(AK476,'[3]17見直し計画'!$A$50:$AJ$584,35,0)</f>
        <v>　企画競争実施中（平成20年7月20日公示、9月中旬決定業者と契約予定）（食器種類別）</v>
      </c>
      <c r="AU476" s="140">
        <f>VLOOKUP(AK476,'[3]17見直し計画'!$A$50:$AJ$584,36,0)</f>
        <v>0</v>
      </c>
    </row>
    <row r="477" spans="1:47" ht="105" hidden="1" customHeight="1">
      <c r="B477" s="575" t="s">
        <v>284</v>
      </c>
      <c r="C477" s="576" t="s">
        <v>135</v>
      </c>
      <c r="D477" s="226" t="s">
        <v>136</v>
      </c>
      <c r="E477">
        <f t="shared" si="37"/>
        <v>391</v>
      </c>
      <c r="F477" s="122">
        <v>2</v>
      </c>
      <c r="G477" s="123">
        <v>2</v>
      </c>
      <c r="H477" s="577">
        <v>2201143</v>
      </c>
      <c r="I477" s="424"/>
      <c r="J477" s="577"/>
      <c r="K477" s="577" t="s">
        <v>345</v>
      </c>
      <c r="L477" s="577" t="s">
        <v>2189</v>
      </c>
      <c r="M477" s="577" t="s">
        <v>2182</v>
      </c>
      <c r="N477" s="578" t="s">
        <v>138</v>
      </c>
      <c r="O477" s="579" t="s">
        <v>139</v>
      </c>
      <c r="P477" s="583" t="s">
        <v>122</v>
      </c>
      <c r="Q477" s="428" t="s">
        <v>2190</v>
      </c>
      <c r="R477" s="426" t="s">
        <v>2191</v>
      </c>
      <c r="S477" s="429" t="s">
        <v>1816</v>
      </c>
      <c r="T477" s="580">
        <v>40483</v>
      </c>
      <c r="U477" s="426" t="s">
        <v>2192</v>
      </c>
      <c r="V477" s="426" t="s">
        <v>2193</v>
      </c>
      <c r="W477" s="426" t="s">
        <v>2187</v>
      </c>
      <c r="X477" s="581">
        <v>7943460</v>
      </c>
      <c r="Y477" s="432">
        <v>7943460</v>
      </c>
      <c r="Z477" s="433">
        <f t="shared" ref="Z477:Z514" si="39">ROUNDDOWN(Y477/X477,3)</f>
        <v>1</v>
      </c>
      <c r="AA477" s="434" t="s">
        <v>1445</v>
      </c>
      <c r="AB477" s="426"/>
      <c r="AC477" s="548" t="s">
        <v>1445</v>
      </c>
      <c r="AD477" s="582" t="s">
        <v>146</v>
      </c>
      <c r="AE477" s="582"/>
      <c r="AF477" s="582"/>
      <c r="AG477" s="321" t="s">
        <v>1636</v>
      </c>
      <c r="AH477" s="437" t="str">
        <f t="shared" ref="AH477:AH515" si="40">IF(AV477="-","0",IF(AV477="一者応札","1",IF(AV477=0,"0",IF(AV477=1,"1",IF(AV477=2,"2",IF(AV477=3,"3",IF(AV477&gt;3,"3","")))))))</f>
        <v>0</v>
      </c>
      <c r="AJ477" s="120"/>
      <c r="AK477" s="120" t="s">
        <v>2194</v>
      </c>
      <c r="AL477" s="232" t="str">
        <f>VLOOKUP(AK477,'[3]17見直し計画'!$A$50:$AJ$584,6,0)</f>
        <v>株式会社山田平安堂</v>
      </c>
      <c r="AM477" s="140" t="str">
        <f>VLOOKUP(AK477,'[3]17見直し計画'!$A$50:$AJ$584,8,0)</f>
        <v>在外公館向け公邸用規格食器の作成</v>
      </c>
      <c r="AN477" s="180">
        <f>VLOOKUP(AK477,'[3]17見直し計画'!$A$50:$AJ$584,10,0)</f>
        <v>38674</v>
      </c>
      <c r="AO477" s="141">
        <f>VLOOKUP(AK477,'[3]17見直し計画'!$A$50:$AJ$584,11,0)</f>
        <v>3354120</v>
      </c>
      <c r="AP477" s="140" t="str">
        <f>VLOOKUP(AK477,'[3]17見直し計画'!$A$50:$AJ$584,12,0)</f>
        <v>本件は、全在外公館統一規格で配備している食器類の発注である。本件食器の「型」は業者が保管して、１個の発注にも備えており、効率性、価格面から考えても他に競争を許さない（会計法第２９条の３第４項）。</v>
      </c>
      <c r="AQ477" s="140" t="str">
        <f>VLOOKUP(AK477,'[3]17見直し計画'!$A$50:$AJ$584,13,0)</f>
        <v>見直しの余地があるもの</v>
      </c>
      <c r="AR477" s="140" t="str">
        <f>VLOOKUP(AK477,'[3]17見直し計画'!$A$50:$AJ$584,14,0)</f>
        <v>コスト面を考慮しつつ、競争入札等に移行できるかどうかにつき検討中。</v>
      </c>
      <c r="AS477" s="140"/>
      <c r="AT477" s="140" t="str">
        <f>VLOOKUP(AK477,'[3]17見直し計画'!$A$50:$AJ$584,35,0)</f>
        <v>　企画競争実施中（平成20年7月20日公示、9月中旬決定業者と契約予定）（食器種類別）</v>
      </c>
      <c r="AU477" s="140">
        <f>VLOOKUP(AK477,'[3]17見直し計画'!$A$50:$AJ$584,36,0)</f>
        <v>0</v>
      </c>
    </row>
    <row r="478" spans="1:47" ht="105" hidden="1" customHeight="1">
      <c r="B478" s="575" t="s">
        <v>284</v>
      </c>
      <c r="C478" s="576" t="s">
        <v>135</v>
      </c>
      <c r="D478" s="226" t="s">
        <v>136</v>
      </c>
      <c r="E478">
        <f t="shared" si="37"/>
        <v>392</v>
      </c>
      <c r="F478" s="122">
        <v>3</v>
      </c>
      <c r="G478" s="123">
        <v>3</v>
      </c>
      <c r="H478" s="577">
        <v>2201141</v>
      </c>
      <c r="I478" s="424"/>
      <c r="J478" s="577"/>
      <c r="K478" s="577" t="s">
        <v>345</v>
      </c>
      <c r="L478" s="577" t="s">
        <v>2181</v>
      </c>
      <c r="M478" s="577" t="s">
        <v>2182</v>
      </c>
      <c r="N478" s="584" t="s">
        <v>138</v>
      </c>
      <c r="O478" s="585" t="s">
        <v>139</v>
      </c>
      <c r="P478" s="583" t="s">
        <v>122</v>
      </c>
      <c r="Q478" s="428" t="s">
        <v>2195</v>
      </c>
      <c r="R478" s="426" t="s">
        <v>2196</v>
      </c>
      <c r="S478" s="429" t="s">
        <v>1816</v>
      </c>
      <c r="T478" s="580">
        <v>40483</v>
      </c>
      <c r="U478" s="426" t="s">
        <v>2197</v>
      </c>
      <c r="V478" s="426" t="s">
        <v>2198</v>
      </c>
      <c r="W478" s="426" t="s">
        <v>2187</v>
      </c>
      <c r="X478" s="581">
        <v>3088113</v>
      </c>
      <c r="Y478" s="432">
        <v>3088113</v>
      </c>
      <c r="Z478" s="433">
        <f t="shared" si="39"/>
        <v>1</v>
      </c>
      <c r="AA478" s="434" t="s">
        <v>1445</v>
      </c>
      <c r="AB478" s="426"/>
      <c r="AC478" s="548" t="s">
        <v>1445</v>
      </c>
      <c r="AD478" s="582" t="s">
        <v>146</v>
      </c>
      <c r="AE478" s="582"/>
      <c r="AF478" s="582"/>
      <c r="AG478" s="321" t="s">
        <v>1636</v>
      </c>
      <c r="AH478" s="437" t="str">
        <f t="shared" si="40"/>
        <v>0</v>
      </c>
      <c r="AJ478" s="120"/>
      <c r="AK478" s="120" t="s">
        <v>147</v>
      </c>
      <c r="AL478" s="232" t="str">
        <f>VLOOKUP(AK478,'[3]17見直し計画'!$A$50:$AJ$584,6,0)</f>
        <v>　見直し計画策定以降の新規案件</v>
      </c>
      <c r="AM478" s="140">
        <f>VLOOKUP(AK478,'[3]17見直し計画'!$A$50:$AJ$584,8,0)</f>
        <v>0</v>
      </c>
      <c r="AN478" s="180"/>
      <c r="AO478" s="141">
        <f>VLOOKUP(AK478,'[3]17見直し計画'!$A$50:$AJ$584,11,0)</f>
        <v>0</v>
      </c>
      <c r="AP478" s="140">
        <f>VLOOKUP(AK478,'[3]17見直し計画'!$A$50:$AJ$584,12,0)</f>
        <v>0</v>
      </c>
      <c r="AQ478" s="140">
        <f>VLOOKUP(AK478,'[3]17見直し計画'!$A$50:$AJ$584,13,0)</f>
        <v>0</v>
      </c>
      <c r="AR478" s="140">
        <f>VLOOKUP(AK478,'[3]17見直し計画'!$A$50:$AJ$584,14,0)</f>
        <v>0</v>
      </c>
      <c r="AS478" s="140"/>
      <c r="AT478" s="140">
        <f>VLOOKUP(AK478,'[3]17見直し計画'!$A$50:$AJ$584,35,0)</f>
        <v>0</v>
      </c>
      <c r="AU478" s="140">
        <f>VLOOKUP(AK478,'[3]17見直し計画'!$A$50:$AJ$584,36,0)</f>
        <v>0</v>
      </c>
    </row>
    <row r="479" spans="1:47" ht="105" hidden="1" customHeight="1">
      <c r="A479" t="s">
        <v>633</v>
      </c>
      <c r="B479" s="126" t="s">
        <v>218</v>
      </c>
      <c r="C479" s="178" t="s">
        <v>135</v>
      </c>
      <c r="D479" s="143" t="s">
        <v>136</v>
      </c>
      <c r="E479">
        <f t="shared" si="37"/>
        <v>393</v>
      </c>
      <c r="F479" s="122">
        <v>4</v>
      </c>
      <c r="G479" s="123">
        <v>4</v>
      </c>
      <c r="H479" s="577">
        <v>2201337</v>
      </c>
      <c r="I479" s="424"/>
      <c r="J479" s="577" t="s">
        <v>2199</v>
      </c>
      <c r="K479" s="577" t="s">
        <v>501</v>
      </c>
      <c r="L479" s="577" t="s">
        <v>2051</v>
      </c>
      <c r="M479" s="577" t="s">
        <v>1461</v>
      </c>
      <c r="N479" s="578" t="s">
        <v>138</v>
      </c>
      <c r="O479" s="586" t="s">
        <v>139</v>
      </c>
      <c r="P479" s="587" t="s">
        <v>122</v>
      </c>
      <c r="Q479" s="428" t="s">
        <v>2200</v>
      </c>
      <c r="R479" s="426" t="s">
        <v>2201</v>
      </c>
      <c r="S479" s="429" t="s">
        <v>1816</v>
      </c>
      <c r="T479" s="580">
        <v>40483</v>
      </c>
      <c r="U479" s="426" t="s">
        <v>2202</v>
      </c>
      <c r="V479" s="426" t="s">
        <v>2203</v>
      </c>
      <c r="W479" s="426" t="s">
        <v>2204</v>
      </c>
      <c r="X479" s="581">
        <v>6059290</v>
      </c>
      <c r="Y479" s="504">
        <v>1984516</v>
      </c>
      <c r="Z479" s="433">
        <f t="shared" si="39"/>
        <v>0.32700000000000001</v>
      </c>
      <c r="AA479" s="434" t="s">
        <v>1445</v>
      </c>
      <c r="AB479" s="426" t="s">
        <v>2205</v>
      </c>
      <c r="AC479" s="548" t="s">
        <v>1445</v>
      </c>
      <c r="AD479" s="582" t="s">
        <v>146</v>
      </c>
      <c r="AE479" s="582"/>
      <c r="AF479" s="582"/>
      <c r="AG479" s="321" t="s">
        <v>1636</v>
      </c>
      <c r="AH479" s="437" t="str">
        <f t="shared" si="40"/>
        <v>0</v>
      </c>
      <c r="AJ479" s="120"/>
      <c r="AK479" s="120" t="s">
        <v>147</v>
      </c>
      <c r="AL479" s="232" t="str">
        <f>VLOOKUP(AK479,'[3]17見直し計画'!$A$50:$AJ$584,6,0)</f>
        <v>　見直し計画策定以降の新規案件</v>
      </c>
      <c r="AM479" s="140">
        <f>VLOOKUP(AK479,'[3]17見直し計画'!$A$50:$AJ$584,8,0)</f>
        <v>0</v>
      </c>
      <c r="AN479" s="180"/>
      <c r="AO479" s="141">
        <f>VLOOKUP(AK479,'[3]17見直し計画'!$A$50:$AJ$584,11,0)</f>
        <v>0</v>
      </c>
      <c r="AP479" s="140">
        <f>VLOOKUP(AK479,'[3]17見直し計画'!$A$50:$AJ$584,12,0)</f>
        <v>0</v>
      </c>
      <c r="AQ479" s="140">
        <f>VLOOKUP(AK479,'[3]17見直し計画'!$A$50:$AJ$584,13,0)</f>
        <v>0</v>
      </c>
      <c r="AR479" s="140">
        <f>VLOOKUP(AK479,'[3]17見直し計画'!$A$50:$AJ$584,14,0)</f>
        <v>0</v>
      </c>
      <c r="AS479" s="140"/>
      <c r="AT479" s="140">
        <f>VLOOKUP(AK479,'[3]17見直し計画'!$A$50:$AJ$584,35,0)</f>
        <v>0</v>
      </c>
      <c r="AU479" s="140">
        <f>VLOOKUP(AK479,'[3]17見直し計画'!$A$50:$AJ$584,36,0)</f>
        <v>0</v>
      </c>
    </row>
    <row r="480" spans="1:47" ht="105" hidden="1" customHeight="1">
      <c r="A480" t="s">
        <v>633</v>
      </c>
      <c r="B480" s="126" t="s">
        <v>218</v>
      </c>
      <c r="C480" s="178" t="s">
        <v>135</v>
      </c>
      <c r="D480" s="143" t="s">
        <v>136</v>
      </c>
      <c r="E480">
        <f t="shared" si="37"/>
        <v>394</v>
      </c>
      <c r="F480" s="122">
        <v>5</v>
      </c>
      <c r="G480" s="123">
        <v>5</v>
      </c>
      <c r="H480" s="577">
        <v>2201338</v>
      </c>
      <c r="I480" s="424"/>
      <c r="J480" s="577" t="s">
        <v>2206</v>
      </c>
      <c r="K480" s="577" t="s">
        <v>501</v>
      </c>
      <c r="L480" s="577" t="s">
        <v>2051</v>
      </c>
      <c r="M480" s="577" t="s">
        <v>1461</v>
      </c>
      <c r="N480" s="584" t="s">
        <v>138</v>
      </c>
      <c r="O480" s="585" t="s">
        <v>139</v>
      </c>
      <c r="P480" s="588" t="s">
        <v>122</v>
      </c>
      <c r="Q480" s="428" t="s">
        <v>2207</v>
      </c>
      <c r="R480" s="426" t="s">
        <v>2201</v>
      </c>
      <c r="S480" s="429" t="s">
        <v>1816</v>
      </c>
      <c r="T480" s="580">
        <v>40483</v>
      </c>
      <c r="U480" s="426" t="s">
        <v>2054</v>
      </c>
      <c r="V480" s="426" t="s">
        <v>2055</v>
      </c>
      <c r="W480" s="426" t="s">
        <v>2208</v>
      </c>
      <c r="X480" s="581">
        <v>4767395</v>
      </c>
      <c r="Y480" s="504">
        <v>1835832</v>
      </c>
      <c r="Z480" s="433">
        <f t="shared" si="39"/>
        <v>0.38500000000000001</v>
      </c>
      <c r="AA480" s="434" t="s">
        <v>1445</v>
      </c>
      <c r="AB480" s="426" t="s">
        <v>2209</v>
      </c>
      <c r="AC480" s="548" t="s">
        <v>1445</v>
      </c>
      <c r="AD480" s="582" t="s">
        <v>146</v>
      </c>
      <c r="AE480" s="582"/>
      <c r="AF480" s="582"/>
      <c r="AG480" s="321" t="s">
        <v>1636</v>
      </c>
      <c r="AH480" s="437" t="str">
        <f t="shared" si="40"/>
        <v>0</v>
      </c>
      <c r="AJ480" s="120"/>
      <c r="AK480" s="120" t="s">
        <v>147</v>
      </c>
      <c r="AL480" s="232" t="str">
        <f>VLOOKUP(AK480,'[3]17見直し計画'!$A$50:$AJ$584,6,0)</f>
        <v>　見直し計画策定以降の新規案件</v>
      </c>
      <c r="AM480" s="140">
        <f>VLOOKUP(AK480,'[3]17見直し計画'!$A$50:$AJ$584,8,0)</f>
        <v>0</v>
      </c>
      <c r="AN480" s="180"/>
      <c r="AO480" s="141">
        <f>VLOOKUP(AK480,'[3]17見直し計画'!$A$50:$AJ$584,11,0)</f>
        <v>0</v>
      </c>
      <c r="AP480" s="140">
        <f>VLOOKUP(AK480,'[3]17見直し計画'!$A$50:$AJ$584,12,0)</f>
        <v>0</v>
      </c>
      <c r="AQ480" s="140">
        <f>VLOOKUP(AK480,'[3]17見直し計画'!$A$50:$AJ$584,13,0)</f>
        <v>0</v>
      </c>
      <c r="AR480" s="140">
        <f>VLOOKUP(AK480,'[3]17見直し計画'!$A$50:$AJ$584,14,0)</f>
        <v>0</v>
      </c>
      <c r="AS480" s="140"/>
      <c r="AT480" s="140">
        <f>VLOOKUP(AK480,'[3]17見直し計画'!$A$50:$AJ$584,35,0)</f>
        <v>0</v>
      </c>
      <c r="AU480" s="140">
        <f>VLOOKUP(AK480,'[3]17見直し計画'!$A$50:$AJ$584,36,0)</f>
        <v>0</v>
      </c>
    </row>
    <row r="481" spans="1:47" ht="105" hidden="1" customHeight="1">
      <c r="A481" t="s">
        <v>633</v>
      </c>
      <c r="B481" s="126" t="s">
        <v>218</v>
      </c>
      <c r="C481" s="178" t="s">
        <v>135</v>
      </c>
      <c r="D481" s="143" t="s">
        <v>136</v>
      </c>
      <c r="E481">
        <f t="shared" si="37"/>
        <v>395</v>
      </c>
      <c r="F481" s="122">
        <v>6</v>
      </c>
      <c r="G481" s="123">
        <v>6</v>
      </c>
      <c r="H481" s="577">
        <v>2201316</v>
      </c>
      <c r="I481" s="424"/>
      <c r="J481" s="577" t="s">
        <v>2210</v>
      </c>
      <c r="K481" s="577" t="s">
        <v>501</v>
      </c>
      <c r="L481" s="577" t="s">
        <v>2051</v>
      </c>
      <c r="M481" s="577" t="s">
        <v>1461</v>
      </c>
      <c r="N481" s="578" t="s">
        <v>138</v>
      </c>
      <c r="O481" s="579" t="s">
        <v>139</v>
      </c>
      <c r="P481" s="583" t="s">
        <v>122</v>
      </c>
      <c r="Q481" s="428" t="s">
        <v>2211</v>
      </c>
      <c r="R481" s="426" t="s">
        <v>2212</v>
      </c>
      <c r="S481" s="429" t="s">
        <v>1816</v>
      </c>
      <c r="T481" s="580">
        <v>40484</v>
      </c>
      <c r="U481" s="426" t="s">
        <v>2213</v>
      </c>
      <c r="V481" s="426" t="s">
        <v>1927</v>
      </c>
      <c r="W481" s="426" t="s">
        <v>1865</v>
      </c>
      <c r="X481" s="581">
        <v>612122455</v>
      </c>
      <c r="Y481" s="454">
        <v>215481269</v>
      </c>
      <c r="Z481" s="433">
        <f t="shared" si="39"/>
        <v>0.35199999999999998</v>
      </c>
      <c r="AA481" s="434" t="s">
        <v>1445</v>
      </c>
      <c r="AB481" s="426" t="s">
        <v>2214</v>
      </c>
      <c r="AC481" s="548" t="s">
        <v>1445</v>
      </c>
      <c r="AD481" s="582" t="s">
        <v>146</v>
      </c>
      <c r="AE481" s="582"/>
      <c r="AF481" s="582"/>
      <c r="AG481" s="321" t="s">
        <v>1636</v>
      </c>
      <c r="AH481" s="437" t="str">
        <f t="shared" si="40"/>
        <v>0</v>
      </c>
      <c r="AJ481" s="120"/>
      <c r="AK481" s="120" t="s">
        <v>147</v>
      </c>
      <c r="AL481" s="232" t="str">
        <f>VLOOKUP(AK481,'[3]17見直し計画'!$A$50:$AJ$584,6,0)</f>
        <v>　見直し計画策定以降の新規案件</v>
      </c>
      <c r="AM481" s="140">
        <f>VLOOKUP(AK481,'[3]17見直し計画'!$A$50:$AJ$584,8,0)</f>
        <v>0</v>
      </c>
      <c r="AN481" s="180"/>
      <c r="AO481" s="141">
        <f>VLOOKUP(AK481,'[3]17見直し計画'!$A$50:$AJ$584,11,0)</f>
        <v>0</v>
      </c>
      <c r="AP481" s="140">
        <f>VLOOKUP(AK481,'[3]17見直し計画'!$A$50:$AJ$584,12,0)</f>
        <v>0</v>
      </c>
      <c r="AQ481" s="140">
        <f>VLOOKUP(AK481,'[3]17見直し計画'!$A$50:$AJ$584,13,0)</f>
        <v>0</v>
      </c>
      <c r="AR481" s="140">
        <f>VLOOKUP(AK481,'[3]17見直し計画'!$A$50:$AJ$584,14,0)</f>
        <v>0</v>
      </c>
      <c r="AS481" s="140"/>
      <c r="AT481" s="140">
        <f>VLOOKUP(AK481,'[3]17見直し計画'!$A$50:$AJ$584,35,0)</f>
        <v>0</v>
      </c>
      <c r="AU481" s="140">
        <f>VLOOKUP(AK481,'[3]17見直し計画'!$A$50:$AJ$584,36,0)</f>
        <v>0</v>
      </c>
    </row>
    <row r="482" spans="1:47" ht="105" hidden="1" customHeight="1">
      <c r="A482" t="s">
        <v>633</v>
      </c>
      <c r="B482" s="126" t="s">
        <v>218</v>
      </c>
      <c r="C482" s="178" t="s">
        <v>135</v>
      </c>
      <c r="D482" s="143" t="s">
        <v>136</v>
      </c>
      <c r="E482">
        <f t="shared" si="37"/>
        <v>396</v>
      </c>
      <c r="F482" s="122">
        <v>7</v>
      </c>
      <c r="G482" s="123">
        <v>7</v>
      </c>
      <c r="H482" s="577">
        <v>2201314</v>
      </c>
      <c r="I482" s="424"/>
      <c r="J482" s="577" t="s">
        <v>2215</v>
      </c>
      <c r="K482" s="577" t="s">
        <v>501</v>
      </c>
      <c r="L482" s="577" t="s">
        <v>2051</v>
      </c>
      <c r="M482" s="577" t="s">
        <v>1461</v>
      </c>
      <c r="N482" s="109" t="s">
        <v>138</v>
      </c>
      <c r="O482" s="589" t="s">
        <v>139</v>
      </c>
      <c r="P482" s="583" t="s">
        <v>122</v>
      </c>
      <c r="Q482" s="428" t="s">
        <v>2216</v>
      </c>
      <c r="R482" s="426" t="s">
        <v>2217</v>
      </c>
      <c r="S482" s="429" t="s">
        <v>1816</v>
      </c>
      <c r="T482" s="580">
        <v>40484</v>
      </c>
      <c r="U482" s="426" t="s">
        <v>2218</v>
      </c>
      <c r="V482" s="426" t="s">
        <v>2219</v>
      </c>
      <c r="W482" s="426" t="s">
        <v>2220</v>
      </c>
      <c r="X482" s="581">
        <v>9221009</v>
      </c>
      <c r="Y482" s="454">
        <v>4067000</v>
      </c>
      <c r="Z482" s="433">
        <f t="shared" si="39"/>
        <v>0.441</v>
      </c>
      <c r="AA482" s="434" t="s">
        <v>1445</v>
      </c>
      <c r="AB482" s="426" t="s">
        <v>2221</v>
      </c>
      <c r="AC482" s="548" t="s">
        <v>1445</v>
      </c>
      <c r="AD482" s="582" t="s">
        <v>146</v>
      </c>
      <c r="AE482" s="582"/>
      <c r="AF482" s="582"/>
      <c r="AG482" s="321" t="s">
        <v>1636</v>
      </c>
      <c r="AH482" s="437" t="str">
        <f t="shared" si="40"/>
        <v>0</v>
      </c>
      <c r="AJ482" s="120"/>
      <c r="AK482" s="120" t="s">
        <v>147</v>
      </c>
      <c r="AL482" s="232" t="str">
        <f>VLOOKUP(AK482,'[3]17見直し計画'!$A$50:$AJ$584,6,0)</f>
        <v>　見直し計画策定以降の新規案件</v>
      </c>
      <c r="AM482" s="140">
        <f>VLOOKUP(AK482,'[3]17見直し計画'!$A$50:$AJ$584,8,0)</f>
        <v>0</v>
      </c>
      <c r="AN482" s="180"/>
      <c r="AO482" s="141">
        <f>VLOOKUP(AK482,'[3]17見直し計画'!$A$50:$AJ$584,11,0)</f>
        <v>0</v>
      </c>
      <c r="AP482" s="140">
        <f>VLOOKUP(AK482,'[3]17見直し計画'!$A$50:$AJ$584,12,0)</f>
        <v>0</v>
      </c>
      <c r="AQ482" s="140">
        <f>VLOOKUP(AK482,'[3]17見直し計画'!$A$50:$AJ$584,13,0)</f>
        <v>0</v>
      </c>
      <c r="AR482" s="140">
        <f>VLOOKUP(AK482,'[3]17見直し計画'!$A$50:$AJ$584,14,0)</f>
        <v>0</v>
      </c>
      <c r="AS482" s="140"/>
      <c r="AT482" s="140">
        <f>VLOOKUP(AK482,'[3]17見直し計画'!$A$50:$AJ$584,35,0)</f>
        <v>0</v>
      </c>
      <c r="AU482" s="140">
        <f>VLOOKUP(AK482,'[3]17見直し計画'!$A$50:$AJ$584,36,0)</f>
        <v>0</v>
      </c>
    </row>
    <row r="483" spans="1:47" ht="105" hidden="1" customHeight="1">
      <c r="A483" t="s">
        <v>633</v>
      </c>
      <c r="B483" s="126" t="s">
        <v>218</v>
      </c>
      <c r="C483" s="178" t="s">
        <v>135</v>
      </c>
      <c r="D483" s="143" t="s">
        <v>136</v>
      </c>
      <c r="E483">
        <f t="shared" si="37"/>
        <v>397</v>
      </c>
      <c r="F483" s="122">
        <v>8</v>
      </c>
      <c r="G483" s="123">
        <v>8</v>
      </c>
      <c r="H483" s="577">
        <v>2201313</v>
      </c>
      <c r="I483" s="424"/>
      <c r="J483" s="577" t="s">
        <v>2215</v>
      </c>
      <c r="K483" s="577" t="s">
        <v>501</v>
      </c>
      <c r="L483" s="577" t="s">
        <v>2051</v>
      </c>
      <c r="M483" s="577" t="s">
        <v>1461</v>
      </c>
      <c r="N483" s="584" t="s">
        <v>138</v>
      </c>
      <c r="O483" s="585" t="s">
        <v>139</v>
      </c>
      <c r="P483" s="583" t="s">
        <v>122</v>
      </c>
      <c r="Q483" s="428" t="s">
        <v>2222</v>
      </c>
      <c r="R483" s="426" t="s">
        <v>2217</v>
      </c>
      <c r="S483" s="429" t="s">
        <v>1816</v>
      </c>
      <c r="T483" s="580">
        <v>40484</v>
      </c>
      <c r="U483" s="426" t="s">
        <v>2223</v>
      </c>
      <c r="V483" s="426" t="s">
        <v>2224</v>
      </c>
      <c r="W483" s="426" t="s">
        <v>2220</v>
      </c>
      <c r="X483" s="581">
        <v>6625717</v>
      </c>
      <c r="Y483" s="454">
        <v>2981572</v>
      </c>
      <c r="Z483" s="433">
        <f t="shared" si="39"/>
        <v>0.44900000000000001</v>
      </c>
      <c r="AA483" s="434" t="s">
        <v>1445</v>
      </c>
      <c r="AB483" s="426" t="s">
        <v>2225</v>
      </c>
      <c r="AC483" s="548" t="s">
        <v>1445</v>
      </c>
      <c r="AD483" s="582" t="s">
        <v>146</v>
      </c>
      <c r="AE483" s="582"/>
      <c r="AF483" s="582"/>
      <c r="AG483" s="321" t="s">
        <v>1636</v>
      </c>
      <c r="AH483" s="437" t="str">
        <f t="shared" si="40"/>
        <v>0</v>
      </c>
      <c r="AJ483" s="120"/>
      <c r="AK483" s="120" t="s">
        <v>147</v>
      </c>
      <c r="AL483" s="232" t="str">
        <f>VLOOKUP(AK483,'[3]17見直し計画'!$A$50:$AJ$584,6,0)</f>
        <v>　見直し計画策定以降の新規案件</v>
      </c>
      <c r="AM483" s="140">
        <f>VLOOKUP(AK483,'[3]17見直し計画'!$A$50:$AJ$584,8,0)</f>
        <v>0</v>
      </c>
      <c r="AN483" s="180"/>
      <c r="AO483" s="141">
        <f>VLOOKUP(AK483,'[3]17見直し計画'!$A$50:$AJ$584,11,0)</f>
        <v>0</v>
      </c>
      <c r="AP483" s="140">
        <f>VLOOKUP(AK483,'[3]17見直し計画'!$A$50:$AJ$584,12,0)</f>
        <v>0</v>
      </c>
      <c r="AQ483" s="140">
        <f>VLOOKUP(AK483,'[3]17見直し計画'!$A$50:$AJ$584,13,0)</f>
        <v>0</v>
      </c>
      <c r="AR483" s="140">
        <f>VLOOKUP(AK483,'[3]17見直し計画'!$A$50:$AJ$584,14,0)</f>
        <v>0</v>
      </c>
      <c r="AS483" s="140"/>
      <c r="AT483" s="140">
        <f>VLOOKUP(AK483,'[3]17見直し計画'!$A$50:$AJ$584,35,0)</f>
        <v>0</v>
      </c>
      <c r="AU483" s="140">
        <f>VLOOKUP(AK483,'[3]17見直し計画'!$A$50:$AJ$584,36,0)</f>
        <v>0</v>
      </c>
    </row>
    <row r="484" spans="1:47" ht="105" hidden="1" customHeight="1">
      <c r="B484" s="575" t="s">
        <v>134</v>
      </c>
      <c r="C484" s="576" t="s">
        <v>135</v>
      </c>
      <c r="D484" s="226" t="s">
        <v>136</v>
      </c>
      <c r="E484">
        <f t="shared" si="37"/>
        <v>398</v>
      </c>
      <c r="F484" s="122">
        <v>9</v>
      </c>
      <c r="G484" s="123">
        <v>9</v>
      </c>
      <c r="H484" s="577">
        <v>2201159</v>
      </c>
      <c r="I484" s="424"/>
      <c r="J484" s="577" t="s">
        <v>2226</v>
      </c>
      <c r="K484" s="577" t="s">
        <v>195</v>
      </c>
      <c r="L484" s="577" t="s">
        <v>1182</v>
      </c>
      <c r="M484" s="577" t="s">
        <v>1183</v>
      </c>
      <c r="N484" s="578" t="s">
        <v>138</v>
      </c>
      <c r="O484" s="579" t="s">
        <v>139</v>
      </c>
      <c r="P484" s="583" t="s">
        <v>122</v>
      </c>
      <c r="Q484" s="428" t="s">
        <v>2227</v>
      </c>
      <c r="R484" s="426" t="s">
        <v>2228</v>
      </c>
      <c r="S484" s="429" t="s">
        <v>1816</v>
      </c>
      <c r="T484" s="580">
        <v>40484</v>
      </c>
      <c r="U484" s="426" t="s">
        <v>1372</v>
      </c>
      <c r="V484" s="426" t="s">
        <v>469</v>
      </c>
      <c r="W484" s="426" t="s">
        <v>2229</v>
      </c>
      <c r="X484" s="581">
        <v>4836396</v>
      </c>
      <c r="Y484" s="432">
        <v>4501836</v>
      </c>
      <c r="Z484" s="433">
        <f t="shared" si="39"/>
        <v>0.93</v>
      </c>
      <c r="AA484" s="434" t="s">
        <v>1445</v>
      </c>
      <c r="AB484" s="426"/>
      <c r="AC484" s="548" t="s">
        <v>1445</v>
      </c>
      <c r="AD484" s="582" t="s">
        <v>146</v>
      </c>
      <c r="AE484" s="582"/>
      <c r="AF484" s="582"/>
      <c r="AG484" s="321" t="s">
        <v>1636</v>
      </c>
      <c r="AH484" s="437" t="str">
        <f t="shared" si="40"/>
        <v>0</v>
      </c>
      <c r="AJ484" s="120"/>
      <c r="AK484" s="120" t="s">
        <v>147</v>
      </c>
      <c r="AL484" s="232" t="str">
        <f>VLOOKUP(AK484,'[3]17見直し計画'!$A$50:$AJ$584,6,0)</f>
        <v>　見直し計画策定以降の新規案件</v>
      </c>
      <c r="AM484" s="140">
        <f>VLOOKUP(AK484,'[3]17見直し計画'!$A$50:$AJ$584,8,0)</f>
        <v>0</v>
      </c>
      <c r="AN484" s="180"/>
      <c r="AO484" s="141">
        <f>VLOOKUP(AK484,'[3]17見直し計画'!$A$50:$AJ$584,11,0)</f>
        <v>0</v>
      </c>
      <c r="AP484" s="140">
        <f>VLOOKUP(AK484,'[3]17見直し計画'!$A$50:$AJ$584,12,0)</f>
        <v>0</v>
      </c>
      <c r="AQ484" s="140">
        <f>VLOOKUP(AK484,'[3]17見直し計画'!$A$50:$AJ$584,13,0)</f>
        <v>0</v>
      </c>
      <c r="AR484" s="140">
        <f>VLOOKUP(AK484,'[3]17見直し計画'!$A$50:$AJ$584,14,0)</f>
        <v>0</v>
      </c>
      <c r="AS484" s="140"/>
      <c r="AT484" s="140">
        <f>VLOOKUP(AK484,'[3]17見直し計画'!$A$50:$AJ$584,35,0)</f>
        <v>0</v>
      </c>
      <c r="AU484" s="140">
        <f>VLOOKUP(AK484,'[3]17見直し計画'!$A$50:$AJ$584,36,0)</f>
        <v>0</v>
      </c>
    </row>
    <row r="485" spans="1:47" ht="105" hidden="1" customHeight="1">
      <c r="B485" s="590" t="s">
        <v>218</v>
      </c>
      <c r="C485" s="178" t="s">
        <v>135</v>
      </c>
      <c r="D485" s="143" t="s">
        <v>136</v>
      </c>
      <c r="E485">
        <f t="shared" si="37"/>
        <v>399</v>
      </c>
      <c r="F485" s="122">
        <v>10</v>
      </c>
      <c r="G485" s="123">
        <v>10</v>
      </c>
      <c r="H485" s="577">
        <v>2201155</v>
      </c>
      <c r="I485" s="459"/>
      <c r="J485" s="577" t="s">
        <v>2230</v>
      </c>
      <c r="K485" s="577" t="s">
        <v>2231</v>
      </c>
      <c r="L485" s="577" t="s">
        <v>2232</v>
      </c>
      <c r="M485" s="577" t="s">
        <v>2233</v>
      </c>
      <c r="N485" s="578" t="s">
        <v>138</v>
      </c>
      <c r="O485" s="579" t="s">
        <v>139</v>
      </c>
      <c r="P485" s="583" t="s">
        <v>122</v>
      </c>
      <c r="Q485" s="428" t="s">
        <v>2234</v>
      </c>
      <c r="R485" s="426" t="s">
        <v>2235</v>
      </c>
      <c r="S485" s="429" t="s">
        <v>1816</v>
      </c>
      <c r="T485" s="580">
        <v>40484</v>
      </c>
      <c r="U485" s="426" t="s">
        <v>2236</v>
      </c>
      <c r="V485" s="426" t="s">
        <v>2237</v>
      </c>
      <c r="W485" s="426" t="s">
        <v>2238</v>
      </c>
      <c r="X485" s="581">
        <v>2500000</v>
      </c>
      <c r="Y485" s="568">
        <v>2500000</v>
      </c>
      <c r="Z485" s="433">
        <f t="shared" si="39"/>
        <v>1</v>
      </c>
      <c r="AA485" s="434" t="s">
        <v>1445</v>
      </c>
      <c r="AB485" s="426" t="s">
        <v>1122</v>
      </c>
      <c r="AC485" s="548" t="s">
        <v>1445</v>
      </c>
      <c r="AD485" s="591" t="s">
        <v>146</v>
      </c>
      <c r="AE485" s="591"/>
      <c r="AF485" s="591"/>
      <c r="AG485" s="321" t="s">
        <v>1636</v>
      </c>
      <c r="AH485" s="437" t="str">
        <f t="shared" si="40"/>
        <v>0</v>
      </c>
      <c r="AJ485" s="120"/>
      <c r="AK485" s="120" t="s">
        <v>147</v>
      </c>
      <c r="AL485" s="232" t="str">
        <f>VLOOKUP(AK485,'[3]17見直し計画'!$A$50:$AJ$584,6,0)</f>
        <v>　見直し計画策定以降の新規案件</v>
      </c>
      <c r="AM485" s="140">
        <f>VLOOKUP(AK485,'[3]17見直し計画'!$A$50:$AJ$584,8,0)</f>
        <v>0</v>
      </c>
      <c r="AN485" s="180"/>
      <c r="AO485" s="141">
        <f>VLOOKUP(AK485,'[3]17見直し計画'!$A$50:$AJ$584,11,0)</f>
        <v>0</v>
      </c>
      <c r="AP485" s="140">
        <f>VLOOKUP(AK485,'[3]17見直し計画'!$A$50:$AJ$584,12,0)</f>
        <v>0</v>
      </c>
      <c r="AQ485" s="140">
        <f>VLOOKUP(AK485,'[3]17見直し計画'!$A$50:$AJ$584,13,0)</f>
        <v>0</v>
      </c>
      <c r="AR485" s="140">
        <f>VLOOKUP(AK485,'[3]17見直し計画'!$A$50:$AJ$584,14,0)</f>
        <v>0</v>
      </c>
      <c r="AS485" s="140"/>
      <c r="AT485" s="140">
        <f>VLOOKUP(AK485,'[3]17見直し計画'!$A$50:$AJ$584,35,0)</f>
        <v>0</v>
      </c>
      <c r="AU485" s="140">
        <f>VLOOKUP(AK485,'[3]17見直し計画'!$A$50:$AJ$584,36,0)</f>
        <v>0</v>
      </c>
    </row>
    <row r="486" spans="1:47" ht="105" hidden="1" customHeight="1">
      <c r="A486" t="s">
        <v>633</v>
      </c>
      <c r="B486" s="590" t="s">
        <v>218</v>
      </c>
      <c r="C486" s="178" t="s">
        <v>135</v>
      </c>
      <c r="D486" s="143" t="s">
        <v>136</v>
      </c>
      <c r="E486">
        <f t="shared" si="37"/>
        <v>400</v>
      </c>
      <c r="F486" s="122">
        <v>11</v>
      </c>
      <c r="G486" s="123">
        <v>11</v>
      </c>
      <c r="H486" s="577">
        <v>2201311</v>
      </c>
      <c r="I486" s="424"/>
      <c r="J486" s="577" t="s">
        <v>2239</v>
      </c>
      <c r="K486" s="577" t="s">
        <v>195</v>
      </c>
      <c r="L486" s="577" t="s">
        <v>2051</v>
      </c>
      <c r="M486" s="577" t="s">
        <v>1655</v>
      </c>
      <c r="N486" s="584" t="s">
        <v>138</v>
      </c>
      <c r="O486" s="585" t="s">
        <v>139</v>
      </c>
      <c r="P486" s="583" t="s">
        <v>122</v>
      </c>
      <c r="Q486" s="428" t="s">
        <v>2240</v>
      </c>
      <c r="R486" s="426" t="s">
        <v>2241</v>
      </c>
      <c r="S486" s="429" t="s">
        <v>1816</v>
      </c>
      <c r="T486" s="580">
        <v>40486</v>
      </c>
      <c r="U486" s="426" t="s">
        <v>222</v>
      </c>
      <c r="V486" s="426" t="s">
        <v>333</v>
      </c>
      <c r="W486" s="426" t="s">
        <v>2242</v>
      </c>
      <c r="X486" s="581">
        <v>4076400</v>
      </c>
      <c r="Y486" s="432">
        <v>4076400</v>
      </c>
      <c r="Z486" s="433">
        <f t="shared" si="39"/>
        <v>1</v>
      </c>
      <c r="AA486" s="434" t="s">
        <v>1445</v>
      </c>
      <c r="AB486" s="426"/>
      <c r="AC486" s="548" t="s">
        <v>1445</v>
      </c>
      <c r="AD486" s="582" t="s">
        <v>146</v>
      </c>
      <c r="AE486" s="582"/>
      <c r="AF486" s="582"/>
      <c r="AG486" s="321" t="s">
        <v>1636</v>
      </c>
      <c r="AH486" s="437" t="str">
        <f t="shared" si="40"/>
        <v>0</v>
      </c>
      <c r="AJ486" s="120"/>
      <c r="AK486" s="120" t="s">
        <v>147</v>
      </c>
      <c r="AL486" s="232" t="str">
        <f>VLOOKUP(AK486,'[3]17見直し計画'!$A$50:$AJ$584,6,0)</f>
        <v>　見直し計画策定以降の新規案件</v>
      </c>
      <c r="AM486" s="140">
        <f>VLOOKUP(AK486,'[3]17見直し計画'!$A$50:$AJ$584,8,0)</f>
        <v>0</v>
      </c>
      <c r="AN486" s="180"/>
      <c r="AO486" s="141">
        <f>VLOOKUP(AK486,'[3]17見直し計画'!$A$50:$AJ$584,11,0)</f>
        <v>0</v>
      </c>
      <c r="AP486" s="140">
        <f>VLOOKUP(AK486,'[3]17見直し計画'!$A$50:$AJ$584,12,0)</f>
        <v>0</v>
      </c>
      <c r="AQ486" s="140">
        <f>VLOOKUP(AK486,'[3]17見直し計画'!$A$50:$AJ$584,13,0)</f>
        <v>0</v>
      </c>
      <c r="AR486" s="140">
        <f>VLOOKUP(AK486,'[3]17見直し計画'!$A$50:$AJ$584,14,0)</f>
        <v>0</v>
      </c>
      <c r="AS486" s="140"/>
      <c r="AT486" s="140">
        <f>VLOOKUP(AK486,'[3]17見直し計画'!$A$50:$AJ$584,35,0)</f>
        <v>0</v>
      </c>
      <c r="AU486" s="140">
        <f>VLOOKUP(AK486,'[3]17見直し計画'!$A$50:$AJ$584,36,0)</f>
        <v>0</v>
      </c>
    </row>
    <row r="487" spans="1:47" ht="105" hidden="1" customHeight="1">
      <c r="A487" t="s">
        <v>148</v>
      </c>
      <c r="B487" s="590" t="s">
        <v>218</v>
      </c>
      <c r="C487" s="178" t="s">
        <v>135</v>
      </c>
      <c r="D487" s="143" t="s">
        <v>136</v>
      </c>
      <c r="E487">
        <f t="shared" si="37"/>
        <v>401</v>
      </c>
      <c r="F487" s="122">
        <v>12</v>
      </c>
      <c r="G487" s="123">
        <v>12</v>
      </c>
      <c r="H487" s="577">
        <v>2201303</v>
      </c>
      <c r="I487" s="474"/>
      <c r="J487" s="577" t="s">
        <v>2243</v>
      </c>
      <c r="K487" s="577" t="s">
        <v>501</v>
      </c>
      <c r="L487" s="577" t="s">
        <v>2051</v>
      </c>
      <c r="M487" s="577" t="s">
        <v>1461</v>
      </c>
      <c r="N487" s="584" t="s">
        <v>138</v>
      </c>
      <c r="O487" s="585" t="s">
        <v>139</v>
      </c>
      <c r="P487" s="583" t="s">
        <v>122</v>
      </c>
      <c r="Q487" s="428" t="s">
        <v>2244</v>
      </c>
      <c r="R487" s="426" t="s">
        <v>2245</v>
      </c>
      <c r="S487" s="429" t="s">
        <v>1816</v>
      </c>
      <c r="T487" s="580">
        <v>40486</v>
      </c>
      <c r="U487" s="426" t="s">
        <v>2246</v>
      </c>
      <c r="V487" s="426" t="s">
        <v>2247</v>
      </c>
      <c r="W487" s="426" t="s">
        <v>2248</v>
      </c>
      <c r="X487" s="432">
        <v>1890000</v>
      </c>
      <c r="Y487" s="454">
        <v>850500</v>
      </c>
      <c r="Z487" s="433">
        <f t="shared" si="39"/>
        <v>0.45</v>
      </c>
      <c r="AA487" s="434" t="s">
        <v>1445</v>
      </c>
      <c r="AB487" s="426" t="s">
        <v>2249</v>
      </c>
      <c r="AC487" s="548" t="s">
        <v>1445</v>
      </c>
      <c r="AD487" s="592" t="s">
        <v>146</v>
      </c>
      <c r="AE487" s="592"/>
      <c r="AF487" s="592"/>
      <c r="AG487" s="321" t="s">
        <v>1636</v>
      </c>
      <c r="AH487" s="437" t="str">
        <f t="shared" si="40"/>
        <v>0</v>
      </c>
      <c r="AJ487" s="120"/>
      <c r="AK487" s="120" t="s">
        <v>147</v>
      </c>
      <c r="AL487" s="232" t="str">
        <f>VLOOKUP(AK487,'[3]17見直し計画'!$A$50:$AJ$584,6,0)</f>
        <v>　見直し計画策定以降の新規案件</v>
      </c>
      <c r="AM487" s="140">
        <f>VLOOKUP(AK487,'[3]17見直し計画'!$A$50:$AJ$584,8,0)</f>
        <v>0</v>
      </c>
      <c r="AN487" s="180"/>
      <c r="AO487" s="141">
        <f>VLOOKUP(AK487,'[3]17見直し計画'!$A$50:$AJ$584,11,0)</f>
        <v>0</v>
      </c>
      <c r="AP487" s="140">
        <f>VLOOKUP(AK487,'[3]17見直し計画'!$A$50:$AJ$584,12,0)</f>
        <v>0</v>
      </c>
      <c r="AQ487" s="140">
        <f>VLOOKUP(AK487,'[3]17見直し計画'!$A$50:$AJ$584,13,0)</f>
        <v>0</v>
      </c>
      <c r="AR487" s="140">
        <f>VLOOKUP(AK487,'[3]17見直し計画'!$A$50:$AJ$584,14,0)</f>
        <v>0</v>
      </c>
      <c r="AS487" s="140"/>
      <c r="AT487" s="140">
        <f>VLOOKUP(AK487,'[3]17見直し計画'!$A$50:$AJ$584,35,0)</f>
        <v>0</v>
      </c>
      <c r="AU487" s="140">
        <f>VLOOKUP(AK487,'[3]17見直し計画'!$A$50:$AJ$584,36,0)</f>
        <v>0</v>
      </c>
    </row>
    <row r="488" spans="1:47" ht="105" hidden="1" customHeight="1">
      <c r="B488" s="182"/>
      <c r="C488" s="182"/>
      <c r="D488" s="223" t="s">
        <v>421</v>
      </c>
      <c r="E488">
        <f t="shared" si="37"/>
        <v>402</v>
      </c>
      <c r="F488" s="185">
        <v>13</v>
      </c>
      <c r="G488" s="186">
        <v>13</v>
      </c>
      <c r="H488" s="593">
        <v>2201175</v>
      </c>
      <c r="I488" s="441"/>
      <c r="J488" s="593" t="s">
        <v>2250</v>
      </c>
      <c r="K488" s="593" t="s">
        <v>229</v>
      </c>
      <c r="L488" s="593" t="s">
        <v>1163</v>
      </c>
      <c r="M488" s="593" t="s">
        <v>1713</v>
      </c>
      <c r="N488" s="594" t="s">
        <v>277</v>
      </c>
      <c r="O488" s="595" t="s">
        <v>121</v>
      </c>
      <c r="P488" s="596" t="s">
        <v>2251</v>
      </c>
      <c r="Q488" s="444" t="s">
        <v>2252</v>
      </c>
      <c r="R488" s="442" t="s">
        <v>2253</v>
      </c>
      <c r="S488" s="445" t="s">
        <v>1816</v>
      </c>
      <c r="T488" s="597">
        <v>40487</v>
      </c>
      <c r="U488" s="442" t="s">
        <v>1570</v>
      </c>
      <c r="V488" s="442" t="s">
        <v>2254</v>
      </c>
      <c r="W488" s="442" t="s">
        <v>1643</v>
      </c>
      <c r="X488" s="422">
        <v>100984000</v>
      </c>
      <c r="Y488" s="409">
        <v>63304047</v>
      </c>
      <c r="Z488" s="448">
        <f t="shared" si="39"/>
        <v>0.626</v>
      </c>
      <c r="AA488" s="527">
        <v>0</v>
      </c>
      <c r="AB488" s="442"/>
      <c r="AC488" s="598">
        <v>1</v>
      </c>
      <c r="AD488" s="599" t="s">
        <v>283</v>
      </c>
      <c r="AE488" s="599"/>
      <c r="AF488" s="599"/>
      <c r="AG488" s="328" t="s">
        <v>1636</v>
      </c>
      <c r="AH488" s="201" t="str">
        <f t="shared" si="40"/>
        <v>0</v>
      </c>
      <c r="AI488" s="184"/>
      <c r="AJ488" s="182"/>
      <c r="AK488" s="182" t="s">
        <v>2255</v>
      </c>
      <c r="AL488" s="231" t="str">
        <f>VLOOKUP(AK488,'[3]17見直し計画'!$A$50:$AJ$584,6,0)</f>
        <v>財団法人　　国際開発高等教育機構</v>
      </c>
      <c r="AM488" s="204" t="str">
        <f>VLOOKUP(AK488,'[3]17見直し計画'!$A$50:$AJ$584,8,0)</f>
        <v>開発援助人材育成・振興委託費</v>
      </c>
      <c r="AN488" s="224" t="str">
        <f>VLOOKUP(AK488,'[3]17見直し計画'!$A$50:$AJ$584,10,0)</f>
        <v>平成17/04/01</v>
      </c>
      <c r="AO488" s="205">
        <f>VLOOKUP(AK488,'[3]17見直し計画'!$A$50:$AJ$584,11,0)</f>
        <v>718559000</v>
      </c>
      <c r="AP488" s="204" t="str">
        <f>VLOOKUP(AK488,'[3]17見直し計画'!$A$50:$AJ$584,12,0)</f>
        <v>本財団は、我が国における官民双方の開発援助人材育成を目的として平成２年に設立された財団であり、現在、政策研究大学院大学と連携し、大学院教育を実施している。大学院教育は、教育に２年、募集期間も含めると３ヵ年度以上に亘るものであり、カリキュラムや教授陣を含むスタッフ、さらに授業料等の変更を伴う委託先の見直しは、学生にとって著しい不都合をもたらす。学生は毎年新たに入学することから、本財団と事業を継続していく他に選択肢がない（会計法第２９条の３第４項）。</v>
      </c>
      <c r="AQ488" s="204" t="str">
        <f>VLOOKUP(AK488,'[3]17見直し計画'!$A$50:$AJ$584,13,0)</f>
        <v>見直しの余地があるもの</v>
      </c>
      <c r="AR488" s="204" t="str">
        <f>VLOOKUP(AK488,'[3]17見直し計画'!$A$50:$AJ$584,14,0)</f>
        <v>一般競争入札等に移行するための準備に時間を要するもの（２１年度以降において公募実施）</v>
      </c>
      <c r="AS488" s="204"/>
      <c r="AT488" s="204" t="str">
        <f>VLOOKUP(AK488,'[3]17見直し計画'!$A$50:$AJ$584,35,0)</f>
        <v>業務の特殊性、事業内容の複雑さのため、仕様書や競争の方法等を整えるのに時間を要するため
(H21.01.26回答）
(備考欄に追加）21年度の契約については、すでに公募の手続きを実施済み。</v>
      </c>
      <c r="AU488" s="204" t="str">
        <f>VLOOKUP(AK488,'[3]17見直し計画'!$A$50:$AJ$584,36,0)</f>
        <v>平成21年度</v>
      </c>
    </row>
    <row r="489" spans="1:47" ht="105" hidden="1" customHeight="1">
      <c r="A489" t="s">
        <v>148</v>
      </c>
      <c r="B489" s="590" t="s">
        <v>218</v>
      </c>
      <c r="C489" s="178" t="s">
        <v>135</v>
      </c>
      <c r="D489" s="143" t="s">
        <v>136</v>
      </c>
      <c r="E489">
        <f t="shared" si="37"/>
        <v>403</v>
      </c>
      <c r="F489" s="122">
        <v>14</v>
      </c>
      <c r="G489" s="123">
        <v>14</v>
      </c>
      <c r="H489" s="577">
        <v>2201324</v>
      </c>
      <c r="I489" s="424"/>
      <c r="J489" s="577" t="s">
        <v>2256</v>
      </c>
      <c r="K489" s="577" t="s">
        <v>501</v>
      </c>
      <c r="L489" s="577" t="s">
        <v>2051</v>
      </c>
      <c r="M489" s="577" t="s">
        <v>1655</v>
      </c>
      <c r="N489" s="584" t="s">
        <v>138</v>
      </c>
      <c r="O489" s="585" t="s">
        <v>139</v>
      </c>
      <c r="P489" s="583" t="s">
        <v>122</v>
      </c>
      <c r="Q489" s="428" t="s">
        <v>2257</v>
      </c>
      <c r="R489" s="426" t="s">
        <v>2258</v>
      </c>
      <c r="S489" s="429" t="s">
        <v>1816</v>
      </c>
      <c r="T489" s="580">
        <v>40487</v>
      </c>
      <c r="U489" s="426" t="s">
        <v>2259</v>
      </c>
      <c r="V489" s="426" t="s">
        <v>2260</v>
      </c>
      <c r="W489" s="426" t="s">
        <v>1865</v>
      </c>
      <c r="X489" s="581">
        <v>35968208</v>
      </c>
      <c r="Y489" s="454">
        <v>14595106</v>
      </c>
      <c r="Z489" s="433">
        <f t="shared" si="39"/>
        <v>0.40500000000000003</v>
      </c>
      <c r="AA489" s="434" t="s">
        <v>1445</v>
      </c>
      <c r="AB489" s="426" t="s">
        <v>2261</v>
      </c>
      <c r="AC489" s="548" t="s">
        <v>1445</v>
      </c>
      <c r="AD489" s="582" t="s">
        <v>146</v>
      </c>
      <c r="AE489" s="582"/>
      <c r="AF489" s="582"/>
      <c r="AG489" s="321" t="s">
        <v>1636</v>
      </c>
      <c r="AH489" s="437" t="str">
        <f t="shared" si="40"/>
        <v>0</v>
      </c>
      <c r="AJ489" s="120"/>
      <c r="AK489" s="120" t="s">
        <v>147</v>
      </c>
      <c r="AL489" s="232" t="str">
        <f>VLOOKUP(AK489,'[3]17見直し計画'!$A$50:$AJ$584,6,0)</f>
        <v>　見直し計画策定以降の新規案件</v>
      </c>
      <c r="AM489" s="140">
        <f>VLOOKUP(AK489,'[3]17見直し計画'!$A$50:$AJ$584,8,0)</f>
        <v>0</v>
      </c>
      <c r="AN489" s="180"/>
      <c r="AO489" s="141">
        <f>VLOOKUP(AK489,'[3]17見直し計画'!$A$50:$AJ$584,11,0)</f>
        <v>0</v>
      </c>
      <c r="AP489" s="140">
        <f>VLOOKUP(AK489,'[3]17見直し計画'!$A$50:$AJ$584,12,0)</f>
        <v>0</v>
      </c>
      <c r="AQ489" s="140">
        <f>VLOOKUP(AK489,'[3]17見直し計画'!$A$50:$AJ$584,13,0)</f>
        <v>0</v>
      </c>
      <c r="AR489" s="140">
        <f>VLOOKUP(AK489,'[3]17見直し計画'!$A$50:$AJ$584,14,0)</f>
        <v>0</v>
      </c>
      <c r="AS489" s="140"/>
      <c r="AT489" s="140">
        <f>VLOOKUP(AK489,'[3]17見直し計画'!$A$50:$AJ$584,35,0)</f>
        <v>0</v>
      </c>
      <c r="AU489" s="140">
        <f>VLOOKUP(AK489,'[3]17見直し計画'!$A$50:$AJ$584,36,0)</f>
        <v>0</v>
      </c>
    </row>
    <row r="490" spans="1:47" ht="105" hidden="1" customHeight="1">
      <c r="B490" s="590" t="s">
        <v>193</v>
      </c>
      <c r="C490" s="178" t="s">
        <v>135</v>
      </c>
      <c r="D490" s="143" t="s">
        <v>136</v>
      </c>
      <c r="E490">
        <f t="shared" ref="E490:E553" si="41">SUM(E489+1)</f>
        <v>404</v>
      </c>
      <c r="F490" s="122">
        <v>15</v>
      </c>
      <c r="G490" s="123">
        <v>15</v>
      </c>
      <c r="H490" s="577">
        <v>2201172</v>
      </c>
      <c r="I490" s="424"/>
      <c r="J490" s="577" t="s">
        <v>2262</v>
      </c>
      <c r="K490" s="577" t="s">
        <v>195</v>
      </c>
      <c r="L490" s="577" t="s">
        <v>1821</v>
      </c>
      <c r="M490" s="600" t="s">
        <v>2263</v>
      </c>
      <c r="N490" s="584" t="s">
        <v>138</v>
      </c>
      <c r="O490" s="585" t="s">
        <v>139</v>
      </c>
      <c r="P490" s="583" t="s">
        <v>122</v>
      </c>
      <c r="Q490" s="428" t="s">
        <v>2264</v>
      </c>
      <c r="R490" s="426" t="s">
        <v>2265</v>
      </c>
      <c r="S490" s="429" t="s">
        <v>1816</v>
      </c>
      <c r="T490" s="580">
        <v>40487</v>
      </c>
      <c r="U490" s="426" t="s">
        <v>2266</v>
      </c>
      <c r="V490" s="426" t="s">
        <v>2267</v>
      </c>
      <c r="W490" s="426" t="s">
        <v>2268</v>
      </c>
      <c r="X490" s="581">
        <v>13524000</v>
      </c>
      <c r="Y490" s="432">
        <v>13524000</v>
      </c>
      <c r="Z490" s="433">
        <f t="shared" si="39"/>
        <v>1</v>
      </c>
      <c r="AA490" s="434" t="s">
        <v>1445</v>
      </c>
      <c r="AB490" s="426"/>
      <c r="AC490" s="548" t="s">
        <v>1445</v>
      </c>
      <c r="AD490" s="582" t="s">
        <v>146</v>
      </c>
      <c r="AE490" s="582"/>
      <c r="AF490" s="582"/>
      <c r="AG490" s="321" t="s">
        <v>1636</v>
      </c>
      <c r="AH490" s="437" t="str">
        <f t="shared" si="40"/>
        <v>0</v>
      </c>
      <c r="AJ490" s="120"/>
      <c r="AK490" s="120" t="s">
        <v>147</v>
      </c>
      <c r="AL490" s="232" t="str">
        <f>VLOOKUP(AK490,'[3]17見直し計画'!$A$50:$AJ$584,6,0)</f>
        <v>　見直し計画策定以降の新規案件</v>
      </c>
      <c r="AM490" s="140">
        <f>VLOOKUP(AK490,'[3]17見直し計画'!$A$50:$AJ$584,8,0)</f>
        <v>0</v>
      </c>
      <c r="AN490" s="180"/>
      <c r="AO490" s="141">
        <f>VLOOKUP(AK490,'[3]17見直し計画'!$A$50:$AJ$584,11,0)</f>
        <v>0</v>
      </c>
      <c r="AP490" s="140">
        <f>VLOOKUP(AK490,'[3]17見直し計画'!$A$50:$AJ$584,12,0)</f>
        <v>0</v>
      </c>
      <c r="AQ490" s="140">
        <f>VLOOKUP(AK490,'[3]17見直し計画'!$A$50:$AJ$584,13,0)</f>
        <v>0</v>
      </c>
      <c r="AR490" s="140">
        <f>VLOOKUP(AK490,'[3]17見直し計画'!$A$50:$AJ$584,14,0)</f>
        <v>0</v>
      </c>
      <c r="AS490" s="140"/>
      <c r="AT490" s="140">
        <f>VLOOKUP(AK490,'[3]17見直し計画'!$A$50:$AJ$584,35,0)</f>
        <v>0</v>
      </c>
      <c r="AU490" s="140">
        <f>VLOOKUP(AK490,'[3]17見直し計画'!$A$50:$AJ$584,36,0)</f>
        <v>0</v>
      </c>
    </row>
    <row r="491" spans="1:47" ht="105" hidden="1" customHeight="1">
      <c r="A491" t="s">
        <v>148</v>
      </c>
      <c r="B491" s="590" t="s">
        <v>218</v>
      </c>
      <c r="C491" s="178" t="s">
        <v>135</v>
      </c>
      <c r="D491" s="143" t="s">
        <v>136</v>
      </c>
      <c r="E491">
        <f t="shared" si="41"/>
        <v>405</v>
      </c>
      <c r="F491" s="122">
        <v>16</v>
      </c>
      <c r="G491" s="123">
        <v>16</v>
      </c>
      <c r="H491" s="577">
        <v>2201329</v>
      </c>
      <c r="I491" s="424"/>
      <c r="J491" s="577" t="s">
        <v>2269</v>
      </c>
      <c r="K491" s="577" t="s">
        <v>501</v>
      </c>
      <c r="L491" s="577" t="s">
        <v>2051</v>
      </c>
      <c r="M491" s="577" t="s">
        <v>1461</v>
      </c>
      <c r="N491" s="578" t="s">
        <v>138</v>
      </c>
      <c r="O491" s="579" t="s">
        <v>139</v>
      </c>
      <c r="P491" s="583" t="s">
        <v>122</v>
      </c>
      <c r="Q491" s="428" t="s">
        <v>2270</v>
      </c>
      <c r="R491" s="426" t="s">
        <v>2258</v>
      </c>
      <c r="S491" s="429" t="s">
        <v>1816</v>
      </c>
      <c r="T491" s="580">
        <v>40487</v>
      </c>
      <c r="U491" s="426" t="s">
        <v>2271</v>
      </c>
      <c r="V491" s="426" t="s">
        <v>2272</v>
      </c>
      <c r="W491" s="426" t="s">
        <v>1865</v>
      </c>
      <c r="X491" s="581">
        <v>10964686</v>
      </c>
      <c r="Y491" s="454">
        <v>5244456</v>
      </c>
      <c r="Z491" s="433">
        <f t="shared" si="39"/>
        <v>0.47799999999999998</v>
      </c>
      <c r="AA491" s="434" t="s">
        <v>1445</v>
      </c>
      <c r="AB491" s="426" t="s">
        <v>2273</v>
      </c>
      <c r="AC491" s="548" t="s">
        <v>1445</v>
      </c>
      <c r="AD491" s="582" t="s">
        <v>146</v>
      </c>
      <c r="AE491" s="582"/>
      <c r="AF491" s="582"/>
      <c r="AG491" s="321" t="s">
        <v>1636</v>
      </c>
      <c r="AH491" s="437" t="str">
        <f t="shared" si="40"/>
        <v>0</v>
      </c>
      <c r="AJ491" s="120"/>
      <c r="AK491" s="120" t="s">
        <v>147</v>
      </c>
      <c r="AL491" s="232" t="str">
        <f>VLOOKUP(AK491,'[3]17見直し計画'!$A$50:$AJ$584,6,0)</f>
        <v>　見直し計画策定以降の新規案件</v>
      </c>
      <c r="AM491" s="140">
        <f>VLOOKUP(AK491,'[3]17見直し計画'!$A$50:$AJ$584,8,0)</f>
        <v>0</v>
      </c>
      <c r="AN491" s="180"/>
      <c r="AO491" s="141">
        <f>VLOOKUP(AK491,'[3]17見直し計画'!$A$50:$AJ$584,11,0)</f>
        <v>0</v>
      </c>
      <c r="AP491" s="140">
        <f>VLOOKUP(AK491,'[3]17見直し計画'!$A$50:$AJ$584,12,0)</f>
        <v>0</v>
      </c>
      <c r="AQ491" s="140">
        <f>VLOOKUP(AK491,'[3]17見直し計画'!$A$50:$AJ$584,13,0)</f>
        <v>0</v>
      </c>
      <c r="AR491" s="140">
        <f>VLOOKUP(AK491,'[3]17見直し計画'!$A$50:$AJ$584,14,0)</f>
        <v>0</v>
      </c>
      <c r="AS491" s="140"/>
      <c r="AT491" s="140">
        <f>VLOOKUP(AK491,'[3]17見直し計画'!$A$50:$AJ$584,35,0)</f>
        <v>0</v>
      </c>
      <c r="AU491" s="140">
        <f>VLOOKUP(AK491,'[3]17見直し計画'!$A$50:$AJ$584,36,0)</f>
        <v>0</v>
      </c>
    </row>
    <row r="492" spans="1:47" ht="105" hidden="1" customHeight="1">
      <c r="A492" t="s">
        <v>148</v>
      </c>
      <c r="B492" s="590" t="s">
        <v>218</v>
      </c>
      <c r="C492" s="178" t="s">
        <v>135</v>
      </c>
      <c r="D492" s="143" t="s">
        <v>136</v>
      </c>
      <c r="E492">
        <f t="shared" si="41"/>
        <v>406</v>
      </c>
      <c r="F492" s="122">
        <v>17</v>
      </c>
      <c r="G492" s="123">
        <v>17</v>
      </c>
      <c r="H492" s="577">
        <v>2201330</v>
      </c>
      <c r="I492" s="424"/>
      <c r="J492" s="577" t="s">
        <v>2274</v>
      </c>
      <c r="K492" s="577" t="s">
        <v>501</v>
      </c>
      <c r="L492" s="577" t="s">
        <v>2051</v>
      </c>
      <c r="M492" s="600" t="s">
        <v>1655</v>
      </c>
      <c r="N492" s="584" t="s">
        <v>138</v>
      </c>
      <c r="O492" s="585" t="s">
        <v>139</v>
      </c>
      <c r="P492" s="583" t="s">
        <v>122</v>
      </c>
      <c r="Q492" s="428" t="s">
        <v>2275</v>
      </c>
      <c r="R492" s="426" t="s">
        <v>2258</v>
      </c>
      <c r="S492" s="429" t="s">
        <v>1816</v>
      </c>
      <c r="T492" s="580">
        <v>40487</v>
      </c>
      <c r="U492" s="426" t="s">
        <v>2276</v>
      </c>
      <c r="V492" s="426" t="s">
        <v>2277</v>
      </c>
      <c r="W492" s="426" t="s">
        <v>1865</v>
      </c>
      <c r="X492" s="581">
        <v>2297100</v>
      </c>
      <c r="Y492" s="454">
        <v>1058895</v>
      </c>
      <c r="Z492" s="433">
        <f t="shared" si="39"/>
        <v>0.46</v>
      </c>
      <c r="AA492" s="434" t="s">
        <v>1445</v>
      </c>
      <c r="AB492" s="426" t="s">
        <v>2278</v>
      </c>
      <c r="AC492" s="548" t="s">
        <v>1445</v>
      </c>
      <c r="AD492" s="582" t="s">
        <v>146</v>
      </c>
      <c r="AE492" s="582"/>
      <c r="AF492" s="582"/>
      <c r="AG492" s="321" t="s">
        <v>1636</v>
      </c>
      <c r="AH492" s="437" t="str">
        <f t="shared" si="40"/>
        <v>0</v>
      </c>
      <c r="AJ492" s="120"/>
      <c r="AK492" s="120" t="s">
        <v>147</v>
      </c>
      <c r="AL492" s="232" t="str">
        <f>VLOOKUP(AK492,'[3]17見直し計画'!$A$50:$AJ$584,6,0)</f>
        <v>　見直し計画策定以降の新規案件</v>
      </c>
      <c r="AM492" s="140">
        <f>VLOOKUP(AK492,'[3]17見直し計画'!$A$50:$AJ$584,8,0)</f>
        <v>0</v>
      </c>
      <c r="AN492" s="180"/>
      <c r="AO492" s="141">
        <f>VLOOKUP(AK492,'[3]17見直し計画'!$A$50:$AJ$584,11,0)</f>
        <v>0</v>
      </c>
      <c r="AP492" s="140">
        <f>VLOOKUP(AK492,'[3]17見直し計画'!$A$50:$AJ$584,12,0)</f>
        <v>0</v>
      </c>
      <c r="AQ492" s="140">
        <f>VLOOKUP(AK492,'[3]17見直し計画'!$A$50:$AJ$584,13,0)</f>
        <v>0</v>
      </c>
      <c r="AR492" s="140">
        <f>VLOOKUP(AK492,'[3]17見直し計画'!$A$50:$AJ$584,14,0)</f>
        <v>0</v>
      </c>
      <c r="AS492" s="140"/>
      <c r="AT492" s="140">
        <f>VLOOKUP(AK492,'[3]17見直し計画'!$A$50:$AJ$584,35,0)</f>
        <v>0</v>
      </c>
      <c r="AU492" s="140">
        <f>VLOOKUP(AK492,'[3]17見直し計画'!$A$50:$AJ$584,36,0)</f>
        <v>0</v>
      </c>
    </row>
    <row r="493" spans="1:47" ht="105" hidden="1" customHeight="1">
      <c r="A493" t="s">
        <v>2279</v>
      </c>
      <c r="B493" s="120"/>
      <c r="C493" s="120"/>
      <c r="D493" s="120" t="s">
        <v>305</v>
      </c>
      <c r="E493">
        <f t="shared" si="41"/>
        <v>407</v>
      </c>
      <c r="F493" s="122">
        <v>18</v>
      </c>
      <c r="G493" s="123">
        <v>18</v>
      </c>
      <c r="H493" s="577">
        <v>2201176</v>
      </c>
      <c r="I493" s="424"/>
      <c r="J493" s="577" t="s">
        <v>2280</v>
      </c>
      <c r="K493" s="577" t="s">
        <v>1055</v>
      </c>
      <c r="L493" s="577" t="s">
        <v>1163</v>
      </c>
      <c r="M493" s="577" t="s">
        <v>1175</v>
      </c>
      <c r="N493" s="578" t="s">
        <v>120</v>
      </c>
      <c r="O493" s="586" t="s">
        <v>121</v>
      </c>
      <c r="P493" s="413" t="s">
        <v>122</v>
      </c>
      <c r="Q493" s="428" t="s">
        <v>2281</v>
      </c>
      <c r="R493" s="426" t="s">
        <v>2282</v>
      </c>
      <c r="S493" s="429" t="s">
        <v>1816</v>
      </c>
      <c r="T493" s="580">
        <v>40487</v>
      </c>
      <c r="U493" s="426" t="s">
        <v>2283</v>
      </c>
      <c r="V493" s="426" t="s">
        <v>1582</v>
      </c>
      <c r="W493" s="601" t="s">
        <v>2284</v>
      </c>
      <c r="X493" s="581">
        <v>2000000</v>
      </c>
      <c r="Y493" s="432">
        <v>1992144</v>
      </c>
      <c r="Z493" s="433">
        <f t="shared" si="39"/>
        <v>0.996</v>
      </c>
      <c r="AA493" s="434">
        <v>2</v>
      </c>
      <c r="AB493" s="426"/>
      <c r="AC493" s="602">
        <v>1</v>
      </c>
      <c r="AD493" s="582" t="s">
        <v>1273</v>
      </c>
      <c r="AE493" s="582"/>
      <c r="AF493" s="582"/>
      <c r="AG493" s="321" t="s">
        <v>1636</v>
      </c>
      <c r="AH493" s="437" t="str">
        <f t="shared" si="40"/>
        <v>0</v>
      </c>
      <c r="AJ493" s="120"/>
      <c r="AK493" s="120" t="s">
        <v>147</v>
      </c>
      <c r="AL493" s="232" t="str">
        <f>VLOOKUP(AK493,'[3]17見直し計画'!$A$50:$AJ$584,6,0)</f>
        <v>　見直し計画策定以降の新規案件</v>
      </c>
      <c r="AM493" s="140">
        <f>VLOOKUP(AK493,'[3]17見直し計画'!$A$50:$AJ$584,8,0)</f>
        <v>0</v>
      </c>
      <c r="AN493" s="180"/>
      <c r="AO493" s="141">
        <f>VLOOKUP(AK493,'[3]17見直し計画'!$A$50:$AJ$584,11,0)</f>
        <v>0</v>
      </c>
      <c r="AP493" s="140">
        <f>VLOOKUP(AK493,'[3]17見直し計画'!$A$50:$AJ$584,12,0)</f>
        <v>0</v>
      </c>
      <c r="AQ493" s="140">
        <f>VLOOKUP(AK493,'[3]17見直し計画'!$A$50:$AJ$584,13,0)</f>
        <v>0</v>
      </c>
      <c r="AR493" s="140">
        <f>VLOOKUP(AK493,'[3]17見直し計画'!$A$50:$AJ$584,14,0)</f>
        <v>0</v>
      </c>
      <c r="AS493" s="140"/>
      <c r="AT493" s="140">
        <f>VLOOKUP(AK493,'[3]17見直し計画'!$A$50:$AJ$584,35,0)</f>
        <v>0</v>
      </c>
      <c r="AU493" s="140">
        <f>VLOOKUP(AK493,'[3]17見直し計画'!$A$50:$AJ$584,36,0)</f>
        <v>0</v>
      </c>
    </row>
    <row r="494" spans="1:47" ht="105" hidden="1" customHeight="1">
      <c r="A494" t="s">
        <v>148</v>
      </c>
      <c r="B494" s="590" t="s">
        <v>218</v>
      </c>
      <c r="C494" s="178" t="s">
        <v>135</v>
      </c>
      <c r="D494" s="143" t="s">
        <v>136</v>
      </c>
      <c r="E494">
        <f t="shared" si="41"/>
        <v>408</v>
      </c>
      <c r="F494" s="122">
        <v>19</v>
      </c>
      <c r="G494" s="123">
        <v>19</v>
      </c>
      <c r="H494" s="577">
        <v>2201340</v>
      </c>
      <c r="I494" s="424"/>
      <c r="J494" s="577" t="s">
        <v>2285</v>
      </c>
      <c r="K494" s="577" t="s">
        <v>501</v>
      </c>
      <c r="L494" s="577" t="s">
        <v>2051</v>
      </c>
      <c r="M494" s="577" t="s">
        <v>1655</v>
      </c>
      <c r="N494" s="578" t="s">
        <v>138</v>
      </c>
      <c r="O494" s="579" t="s">
        <v>139</v>
      </c>
      <c r="P494" s="583" t="s">
        <v>122</v>
      </c>
      <c r="Q494" s="428" t="s">
        <v>2286</v>
      </c>
      <c r="R494" s="426" t="s">
        <v>2258</v>
      </c>
      <c r="S494" s="429" t="s">
        <v>1816</v>
      </c>
      <c r="T494" s="580">
        <v>40487</v>
      </c>
      <c r="U494" s="426" t="s">
        <v>2287</v>
      </c>
      <c r="V494" s="426" t="s">
        <v>2288</v>
      </c>
      <c r="W494" s="426" t="s">
        <v>2289</v>
      </c>
      <c r="X494" s="581">
        <v>1884300</v>
      </c>
      <c r="Y494" s="454">
        <v>958642</v>
      </c>
      <c r="Z494" s="433">
        <f t="shared" si="39"/>
        <v>0.50800000000000001</v>
      </c>
      <c r="AA494" s="434" t="s">
        <v>1445</v>
      </c>
      <c r="AB494" s="426" t="s">
        <v>2290</v>
      </c>
      <c r="AC494" s="548" t="s">
        <v>1445</v>
      </c>
      <c r="AD494" s="582" t="s">
        <v>146</v>
      </c>
      <c r="AE494" s="582"/>
      <c r="AF494" s="582"/>
      <c r="AG494" s="321" t="s">
        <v>1636</v>
      </c>
      <c r="AH494" s="437" t="str">
        <f t="shared" si="40"/>
        <v>0</v>
      </c>
      <c r="AJ494" s="120"/>
      <c r="AK494" s="120" t="s">
        <v>147</v>
      </c>
      <c r="AL494" s="232" t="str">
        <f>VLOOKUP(AK494,'[3]17見直し計画'!$A$50:$AJ$584,6,0)</f>
        <v>　見直し計画策定以降の新規案件</v>
      </c>
      <c r="AM494" s="140">
        <f>VLOOKUP(AK494,'[3]17見直し計画'!$A$50:$AJ$584,8,0)</f>
        <v>0</v>
      </c>
      <c r="AN494" s="180"/>
      <c r="AO494" s="141">
        <f>VLOOKUP(AK494,'[3]17見直し計画'!$A$50:$AJ$584,11,0)</f>
        <v>0</v>
      </c>
      <c r="AP494" s="140">
        <f>VLOOKUP(AK494,'[3]17見直し計画'!$A$50:$AJ$584,12,0)</f>
        <v>0</v>
      </c>
      <c r="AQ494" s="140">
        <f>VLOOKUP(AK494,'[3]17見直し計画'!$A$50:$AJ$584,13,0)</f>
        <v>0</v>
      </c>
      <c r="AR494" s="140">
        <f>VLOOKUP(AK494,'[3]17見直し計画'!$A$50:$AJ$584,14,0)</f>
        <v>0</v>
      </c>
      <c r="AS494" s="140"/>
      <c r="AT494" s="140">
        <f>VLOOKUP(AK494,'[3]17見直し計画'!$A$50:$AJ$584,35,0)</f>
        <v>0</v>
      </c>
      <c r="AU494" s="140">
        <f>VLOOKUP(AK494,'[3]17見直し計画'!$A$50:$AJ$584,36,0)</f>
        <v>0</v>
      </c>
    </row>
    <row r="495" spans="1:47" ht="105" hidden="1" customHeight="1">
      <c r="A495" t="s">
        <v>148</v>
      </c>
      <c r="B495" s="590" t="s">
        <v>218</v>
      </c>
      <c r="C495" s="178" t="s">
        <v>135</v>
      </c>
      <c r="D495" s="143" t="s">
        <v>136</v>
      </c>
      <c r="E495">
        <f t="shared" si="41"/>
        <v>409</v>
      </c>
      <c r="F495" s="122">
        <v>20</v>
      </c>
      <c r="G495" s="123">
        <v>20</v>
      </c>
      <c r="H495" s="577">
        <v>2201339</v>
      </c>
      <c r="I495" s="424"/>
      <c r="J495" s="577" t="s">
        <v>2291</v>
      </c>
      <c r="K495" s="577" t="s">
        <v>501</v>
      </c>
      <c r="L495" s="577" t="s">
        <v>2051</v>
      </c>
      <c r="M495" s="577" t="s">
        <v>1461</v>
      </c>
      <c r="N495" s="584" t="s">
        <v>138</v>
      </c>
      <c r="O495" s="585" t="s">
        <v>139</v>
      </c>
      <c r="P495" s="583" t="s">
        <v>122</v>
      </c>
      <c r="Q495" s="428" t="s">
        <v>2292</v>
      </c>
      <c r="R495" s="426" t="s">
        <v>2258</v>
      </c>
      <c r="S495" s="429" t="s">
        <v>1816</v>
      </c>
      <c r="T495" s="580">
        <v>40487</v>
      </c>
      <c r="U495" s="426" t="s">
        <v>2293</v>
      </c>
      <c r="V495" s="426" t="s">
        <v>2294</v>
      </c>
      <c r="W495" s="426" t="s">
        <v>2289</v>
      </c>
      <c r="X495" s="581">
        <v>1480600</v>
      </c>
      <c r="Y495" s="454">
        <v>563850</v>
      </c>
      <c r="Z495" s="433">
        <f t="shared" si="39"/>
        <v>0.38</v>
      </c>
      <c r="AA495" s="434" t="s">
        <v>1445</v>
      </c>
      <c r="AB495" s="426" t="s">
        <v>2295</v>
      </c>
      <c r="AC495" s="548" t="s">
        <v>1445</v>
      </c>
      <c r="AD495" s="582" t="s">
        <v>146</v>
      </c>
      <c r="AE495" s="582"/>
      <c r="AF495" s="582"/>
      <c r="AG495" s="321" t="s">
        <v>1636</v>
      </c>
      <c r="AH495" s="437" t="str">
        <f t="shared" si="40"/>
        <v>0</v>
      </c>
      <c r="AJ495" s="120"/>
      <c r="AK495" s="120" t="s">
        <v>147</v>
      </c>
      <c r="AL495" s="232" t="str">
        <f>VLOOKUP(AK495,'[3]17見直し計画'!$A$50:$AJ$584,6,0)</f>
        <v>　見直し計画策定以降の新規案件</v>
      </c>
      <c r="AM495" s="140">
        <f>VLOOKUP(AK495,'[3]17見直し計画'!$A$50:$AJ$584,8,0)</f>
        <v>0</v>
      </c>
      <c r="AN495" s="180"/>
      <c r="AO495" s="141">
        <f>VLOOKUP(AK495,'[3]17見直し計画'!$A$50:$AJ$584,11,0)</f>
        <v>0</v>
      </c>
      <c r="AP495" s="140">
        <f>VLOOKUP(AK495,'[3]17見直し計画'!$A$50:$AJ$584,12,0)</f>
        <v>0</v>
      </c>
      <c r="AQ495" s="140">
        <f>VLOOKUP(AK495,'[3]17見直し計画'!$A$50:$AJ$584,13,0)</f>
        <v>0</v>
      </c>
      <c r="AR495" s="140">
        <f>VLOOKUP(AK495,'[3]17見直し計画'!$A$50:$AJ$584,14,0)</f>
        <v>0</v>
      </c>
      <c r="AS495" s="140"/>
      <c r="AT495" s="140">
        <f>VLOOKUP(AK495,'[3]17見直し計画'!$A$50:$AJ$584,35,0)</f>
        <v>0</v>
      </c>
      <c r="AU495" s="140">
        <f>VLOOKUP(AK495,'[3]17見直し計画'!$A$50:$AJ$584,36,0)</f>
        <v>0</v>
      </c>
    </row>
    <row r="496" spans="1:47" ht="105" hidden="1" customHeight="1">
      <c r="A496" t="s">
        <v>148</v>
      </c>
      <c r="B496" s="590" t="s">
        <v>218</v>
      </c>
      <c r="C496" s="178" t="s">
        <v>135</v>
      </c>
      <c r="D496" s="143" t="s">
        <v>136</v>
      </c>
      <c r="E496">
        <f t="shared" si="41"/>
        <v>410</v>
      </c>
      <c r="F496" s="122">
        <v>21</v>
      </c>
      <c r="G496" s="123">
        <v>21</v>
      </c>
      <c r="H496" s="577">
        <v>2201343</v>
      </c>
      <c r="I496" s="424"/>
      <c r="J496" s="577" t="s">
        <v>2296</v>
      </c>
      <c r="K496" s="577" t="s">
        <v>501</v>
      </c>
      <c r="L496" s="577" t="s">
        <v>2051</v>
      </c>
      <c r="M496" s="577" t="s">
        <v>1655</v>
      </c>
      <c r="N496" s="584" t="s">
        <v>138</v>
      </c>
      <c r="O496" s="585" t="s">
        <v>139</v>
      </c>
      <c r="P496" s="583" t="s">
        <v>122</v>
      </c>
      <c r="Q496" s="428" t="s">
        <v>2297</v>
      </c>
      <c r="R496" s="426" t="s">
        <v>2258</v>
      </c>
      <c r="S496" s="429" t="s">
        <v>1816</v>
      </c>
      <c r="T496" s="580">
        <v>40487</v>
      </c>
      <c r="U496" s="426" t="s">
        <v>2298</v>
      </c>
      <c r="V496" s="426" t="s">
        <v>2299</v>
      </c>
      <c r="W496" s="426" t="s">
        <v>2300</v>
      </c>
      <c r="X496" s="581">
        <v>1069150</v>
      </c>
      <c r="Y496" s="454">
        <v>344700</v>
      </c>
      <c r="Z496" s="433">
        <f t="shared" si="39"/>
        <v>0.32200000000000001</v>
      </c>
      <c r="AA496" s="434" t="s">
        <v>1445</v>
      </c>
      <c r="AB496" s="426" t="s">
        <v>2301</v>
      </c>
      <c r="AC496" s="548" t="s">
        <v>1445</v>
      </c>
      <c r="AD496" s="582" t="s">
        <v>146</v>
      </c>
      <c r="AE496" s="582"/>
      <c r="AF496" s="582"/>
      <c r="AG496" s="321" t="s">
        <v>1636</v>
      </c>
      <c r="AH496" s="437" t="str">
        <f t="shared" si="40"/>
        <v>0</v>
      </c>
      <c r="AJ496" s="120"/>
      <c r="AK496" s="120" t="s">
        <v>147</v>
      </c>
      <c r="AL496" s="232" t="str">
        <f>VLOOKUP(AK496,'[3]17見直し計画'!$A$50:$AJ$584,6,0)</f>
        <v>　見直し計画策定以降の新規案件</v>
      </c>
      <c r="AM496" s="140">
        <f>VLOOKUP(AK496,'[3]17見直し計画'!$A$50:$AJ$584,8,0)</f>
        <v>0</v>
      </c>
      <c r="AN496" s="180"/>
      <c r="AO496" s="141">
        <f>VLOOKUP(AK496,'[3]17見直し計画'!$A$50:$AJ$584,11,0)</f>
        <v>0</v>
      </c>
      <c r="AP496" s="140">
        <f>VLOOKUP(AK496,'[3]17見直し計画'!$A$50:$AJ$584,12,0)</f>
        <v>0</v>
      </c>
      <c r="AQ496" s="140">
        <f>VLOOKUP(AK496,'[3]17見直し計画'!$A$50:$AJ$584,13,0)</f>
        <v>0</v>
      </c>
      <c r="AR496" s="140">
        <f>VLOOKUP(AK496,'[3]17見直し計画'!$A$50:$AJ$584,14,0)</f>
        <v>0</v>
      </c>
      <c r="AS496" s="140"/>
      <c r="AT496" s="140">
        <f>VLOOKUP(AK496,'[3]17見直し計画'!$A$50:$AJ$584,35,0)</f>
        <v>0</v>
      </c>
      <c r="AU496" s="140">
        <f>VLOOKUP(AK496,'[3]17見直し計画'!$A$50:$AJ$584,36,0)</f>
        <v>0</v>
      </c>
    </row>
    <row r="497" spans="1:47" ht="105" hidden="1" customHeight="1">
      <c r="B497" s="590" t="s">
        <v>134</v>
      </c>
      <c r="C497" s="178" t="s">
        <v>135</v>
      </c>
      <c r="D497" s="143" t="s">
        <v>136</v>
      </c>
      <c r="E497">
        <f t="shared" si="41"/>
        <v>411</v>
      </c>
      <c r="F497" s="122">
        <v>22</v>
      </c>
      <c r="G497" s="123">
        <v>22</v>
      </c>
      <c r="H497" s="577">
        <v>2201178</v>
      </c>
      <c r="I497" s="459"/>
      <c r="J497" s="577" t="s">
        <v>2302</v>
      </c>
      <c r="K497" s="577" t="s">
        <v>195</v>
      </c>
      <c r="L497" s="577" t="s">
        <v>1182</v>
      </c>
      <c r="M497" s="577" t="s">
        <v>1183</v>
      </c>
      <c r="N497" s="578" t="s">
        <v>138</v>
      </c>
      <c r="O497" s="579" t="s">
        <v>139</v>
      </c>
      <c r="P497" s="583" t="s">
        <v>122</v>
      </c>
      <c r="Q497" s="428" t="s">
        <v>2303</v>
      </c>
      <c r="R497" s="426" t="s">
        <v>2304</v>
      </c>
      <c r="S497" s="429" t="s">
        <v>1816</v>
      </c>
      <c r="T497" s="580">
        <v>40491</v>
      </c>
      <c r="U497" s="426" t="s">
        <v>222</v>
      </c>
      <c r="V497" s="426" t="s">
        <v>333</v>
      </c>
      <c r="W497" s="426" t="s">
        <v>2305</v>
      </c>
      <c r="X497" s="581">
        <v>4315500</v>
      </c>
      <c r="Y497" s="432">
        <v>4315500</v>
      </c>
      <c r="Z497" s="433">
        <f t="shared" si="39"/>
        <v>1</v>
      </c>
      <c r="AA497" s="434" t="s">
        <v>1445</v>
      </c>
      <c r="AB497" s="426"/>
      <c r="AC497" s="548" t="s">
        <v>1445</v>
      </c>
      <c r="AD497" s="591" t="s">
        <v>146</v>
      </c>
      <c r="AE497" s="591"/>
      <c r="AF497" s="591"/>
      <c r="AG497" s="321" t="s">
        <v>1636</v>
      </c>
      <c r="AH497" s="437" t="str">
        <f t="shared" si="40"/>
        <v>0</v>
      </c>
      <c r="AJ497" s="120"/>
      <c r="AK497" s="120" t="s">
        <v>147</v>
      </c>
      <c r="AL497" s="232" t="str">
        <f>VLOOKUP(AK497,'[3]17見直し計画'!$A$50:$AJ$584,6,0)</f>
        <v>　見直し計画策定以降の新規案件</v>
      </c>
      <c r="AM497" s="140">
        <f>VLOOKUP(AK497,'[3]17見直し計画'!$A$50:$AJ$584,8,0)</f>
        <v>0</v>
      </c>
      <c r="AN497" s="180"/>
      <c r="AO497" s="141">
        <f>VLOOKUP(AK497,'[3]17見直し計画'!$A$50:$AJ$584,11,0)</f>
        <v>0</v>
      </c>
      <c r="AP497" s="140">
        <f>VLOOKUP(AK497,'[3]17見直し計画'!$A$50:$AJ$584,12,0)</f>
        <v>0</v>
      </c>
      <c r="AQ497" s="140">
        <f>VLOOKUP(AK497,'[3]17見直し計画'!$A$50:$AJ$584,13,0)</f>
        <v>0</v>
      </c>
      <c r="AR497" s="140">
        <f>VLOOKUP(AK497,'[3]17見直し計画'!$A$50:$AJ$584,14,0)</f>
        <v>0</v>
      </c>
      <c r="AS497" s="140"/>
      <c r="AT497" s="140">
        <f>VLOOKUP(AK497,'[3]17見直し計画'!$A$50:$AJ$584,35,0)</f>
        <v>0</v>
      </c>
      <c r="AU497" s="140">
        <f>VLOOKUP(AK497,'[3]17見直し計画'!$A$50:$AJ$584,36,0)</f>
        <v>0</v>
      </c>
    </row>
    <row r="498" spans="1:47" ht="105" hidden="1" customHeight="1">
      <c r="B498" s="590" t="s">
        <v>134</v>
      </c>
      <c r="C498" s="178" t="s">
        <v>135</v>
      </c>
      <c r="D498" s="143" t="s">
        <v>136</v>
      </c>
      <c r="E498">
        <f t="shared" si="41"/>
        <v>412</v>
      </c>
      <c r="F498" s="122">
        <v>23</v>
      </c>
      <c r="G498" s="123">
        <v>23</v>
      </c>
      <c r="H498" s="577">
        <v>2201177</v>
      </c>
      <c r="I498" s="519"/>
      <c r="J498" s="577" t="s">
        <v>2306</v>
      </c>
      <c r="K498" s="577" t="s">
        <v>195</v>
      </c>
      <c r="L498" s="577" t="s">
        <v>1182</v>
      </c>
      <c r="M498" s="577" t="s">
        <v>1183</v>
      </c>
      <c r="N498" s="584" t="s">
        <v>138</v>
      </c>
      <c r="O498" s="585" t="s">
        <v>139</v>
      </c>
      <c r="P498" s="583" t="s">
        <v>122</v>
      </c>
      <c r="Q498" s="428" t="s">
        <v>2307</v>
      </c>
      <c r="R498" s="426" t="s">
        <v>2308</v>
      </c>
      <c r="S498" s="429" t="s">
        <v>1816</v>
      </c>
      <c r="T498" s="580">
        <v>40491</v>
      </c>
      <c r="U498" s="426" t="s">
        <v>622</v>
      </c>
      <c r="V498" s="426" t="s">
        <v>623</v>
      </c>
      <c r="W498" s="426" t="s">
        <v>1695</v>
      </c>
      <c r="X498" s="581">
        <v>1253700</v>
      </c>
      <c r="Y498" s="432">
        <v>1253700</v>
      </c>
      <c r="Z498" s="433">
        <f t="shared" si="39"/>
        <v>1</v>
      </c>
      <c r="AA498" s="434" t="s">
        <v>1445</v>
      </c>
      <c r="AB498" s="426"/>
      <c r="AC498" s="548" t="s">
        <v>1445</v>
      </c>
      <c r="AD498" s="603" t="s">
        <v>146</v>
      </c>
      <c r="AE498" s="603"/>
      <c r="AF498" s="603"/>
      <c r="AG498" s="321" t="s">
        <v>1636</v>
      </c>
      <c r="AH498" s="437" t="str">
        <f t="shared" si="40"/>
        <v>0</v>
      </c>
      <c r="AJ498" s="120"/>
      <c r="AK498" s="120" t="s">
        <v>147</v>
      </c>
      <c r="AL498" s="232" t="str">
        <f>VLOOKUP(AK498,'[3]17見直し計画'!$A$50:$AJ$584,6,0)</f>
        <v>　見直し計画策定以降の新規案件</v>
      </c>
      <c r="AM498" s="140">
        <f>VLOOKUP(AK498,'[3]17見直し計画'!$A$50:$AJ$584,8,0)</f>
        <v>0</v>
      </c>
      <c r="AN498" s="180"/>
      <c r="AO498" s="141">
        <f>VLOOKUP(AK498,'[3]17見直し計画'!$A$50:$AJ$584,11,0)</f>
        <v>0</v>
      </c>
      <c r="AP498" s="140">
        <f>VLOOKUP(AK498,'[3]17見直し計画'!$A$50:$AJ$584,12,0)</f>
        <v>0</v>
      </c>
      <c r="AQ498" s="140">
        <f>VLOOKUP(AK498,'[3]17見直し計画'!$A$50:$AJ$584,13,0)</f>
        <v>0</v>
      </c>
      <c r="AR498" s="140">
        <f>VLOOKUP(AK498,'[3]17見直し計画'!$A$50:$AJ$584,14,0)</f>
        <v>0</v>
      </c>
      <c r="AS498" s="140"/>
      <c r="AT498" s="140">
        <f>VLOOKUP(AK498,'[3]17見直し計画'!$A$50:$AJ$584,35,0)</f>
        <v>0</v>
      </c>
      <c r="AU498" s="140">
        <f>VLOOKUP(AK498,'[3]17見直し計画'!$A$50:$AJ$584,36,0)</f>
        <v>0</v>
      </c>
    </row>
    <row r="499" spans="1:47" ht="105" hidden="1" customHeight="1">
      <c r="B499" s="590" t="s">
        <v>134</v>
      </c>
      <c r="C499" s="178" t="s">
        <v>135</v>
      </c>
      <c r="D499" s="143" t="s">
        <v>136</v>
      </c>
      <c r="E499">
        <f t="shared" si="41"/>
        <v>413</v>
      </c>
      <c r="F499" s="122">
        <v>24</v>
      </c>
      <c r="G499" s="123">
        <v>24</v>
      </c>
      <c r="H499" s="577">
        <v>2201183</v>
      </c>
      <c r="I499" s="523"/>
      <c r="J499" s="577" t="s">
        <v>2309</v>
      </c>
      <c r="K499" s="577" t="s">
        <v>195</v>
      </c>
      <c r="L499" s="577" t="s">
        <v>1182</v>
      </c>
      <c r="M499" s="577" t="s">
        <v>1183</v>
      </c>
      <c r="N499" s="578" t="s">
        <v>138</v>
      </c>
      <c r="O499" s="579" t="s">
        <v>139</v>
      </c>
      <c r="P499" s="583" t="s">
        <v>122</v>
      </c>
      <c r="Q499" s="428" t="s">
        <v>2310</v>
      </c>
      <c r="R499" s="426" t="s">
        <v>2311</v>
      </c>
      <c r="S499" s="429" t="s">
        <v>1816</v>
      </c>
      <c r="T499" s="580">
        <v>40492</v>
      </c>
      <c r="U499" s="426" t="s">
        <v>222</v>
      </c>
      <c r="V499" s="426" t="s">
        <v>333</v>
      </c>
      <c r="W499" s="426" t="s">
        <v>1695</v>
      </c>
      <c r="X499" s="581">
        <v>3321553</v>
      </c>
      <c r="Y499" s="432">
        <v>3321553</v>
      </c>
      <c r="Z499" s="433">
        <f t="shared" si="39"/>
        <v>1</v>
      </c>
      <c r="AA499" s="434" t="s">
        <v>1445</v>
      </c>
      <c r="AB499" s="426"/>
      <c r="AC499" s="548" t="s">
        <v>1445</v>
      </c>
      <c r="AD499" s="604" t="s">
        <v>146</v>
      </c>
      <c r="AE499" s="604"/>
      <c r="AF499" s="604"/>
      <c r="AG499" s="321" t="s">
        <v>1636</v>
      </c>
      <c r="AH499" s="437" t="str">
        <f t="shared" si="40"/>
        <v>0</v>
      </c>
      <c r="AJ499" s="120"/>
      <c r="AK499" s="120" t="s">
        <v>147</v>
      </c>
      <c r="AL499" s="232" t="str">
        <f>VLOOKUP(AK499,'[3]17見直し計画'!$A$50:$AJ$584,6,0)</f>
        <v>　見直し計画策定以降の新規案件</v>
      </c>
      <c r="AM499" s="140">
        <f>VLOOKUP(AK499,'[3]17見直し計画'!$A$50:$AJ$584,8,0)</f>
        <v>0</v>
      </c>
      <c r="AN499" s="180"/>
      <c r="AO499" s="141">
        <f>VLOOKUP(AK499,'[3]17見直し計画'!$A$50:$AJ$584,11,0)</f>
        <v>0</v>
      </c>
      <c r="AP499" s="140">
        <f>VLOOKUP(AK499,'[3]17見直し計画'!$A$50:$AJ$584,12,0)</f>
        <v>0</v>
      </c>
      <c r="AQ499" s="140">
        <f>VLOOKUP(AK499,'[3]17見直し計画'!$A$50:$AJ$584,13,0)</f>
        <v>0</v>
      </c>
      <c r="AR499" s="140">
        <f>VLOOKUP(AK499,'[3]17見直し計画'!$A$50:$AJ$584,14,0)</f>
        <v>0</v>
      </c>
      <c r="AS499" s="140"/>
      <c r="AT499" s="140">
        <f>VLOOKUP(AK499,'[3]17見直し計画'!$A$50:$AJ$584,35,0)</f>
        <v>0</v>
      </c>
      <c r="AU499" s="140">
        <f>VLOOKUP(AK499,'[3]17見直し計画'!$A$50:$AJ$584,36,0)</f>
        <v>0</v>
      </c>
    </row>
    <row r="500" spans="1:47" ht="105" hidden="1" customHeight="1">
      <c r="A500" t="s">
        <v>148</v>
      </c>
      <c r="B500" s="590" t="s">
        <v>218</v>
      </c>
      <c r="C500" s="178" t="s">
        <v>135</v>
      </c>
      <c r="D500" s="143" t="s">
        <v>136</v>
      </c>
      <c r="E500">
        <f t="shared" si="41"/>
        <v>414</v>
      </c>
      <c r="F500" s="122">
        <v>25</v>
      </c>
      <c r="G500" s="123">
        <v>25</v>
      </c>
      <c r="H500" s="577">
        <v>2201323</v>
      </c>
      <c r="I500" s="424"/>
      <c r="J500" s="577"/>
      <c r="K500" s="577" t="s">
        <v>501</v>
      </c>
      <c r="L500" s="577" t="s">
        <v>2051</v>
      </c>
      <c r="M500" s="577" t="s">
        <v>1461</v>
      </c>
      <c r="N500" s="584" t="s">
        <v>138</v>
      </c>
      <c r="O500" s="585" t="s">
        <v>139</v>
      </c>
      <c r="P500" s="583" t="s">
        <v>122</v>
      </c>
      <c r="Q500" s="428" t="s">
        <v>2312</v>
      </c>
      <c r="R500" s="426" t="s">
        <v>2313</v>
      </c>
      <c r="S500" s="429" t="s">
        <v>1816</v>
      </c>
      <c r="T500" s="580">
        <v>40492</v>
      </c>
      <c r="U500" s="426" t="s">
        <v>2314</v>
      </c>
      <c r="V500" s="426" t="s">
        <v>2315</v>
      </c>
      <c r="W500" s="426" t="s">
        <v>2316</v>
      </c>
      <c r="X500" s="581">
        <v>1995000</v>
      </c>
      <c r="Y500" s="454">
        <v>897750</v>
      </c>
      <c r="Z500" s="433">
        <f t="shared" si="39"/>
        <v>0.45</v>
      </c>
      <c r="AA500" s="434" t="s">
        <v>1445</v>
      </c>
      <c r="AB500" s="426" t="s">
        <v>2317</v>
      </c>
      <c r="AC500" s="548" t="s">
        <v>1445</v>
      </c>
      <c r="AD500" s="582" t="s">
        <v>146</v>
      </c>
      <c r="AE500" s="582"/>
      <c r="AF500" s="582"/>
      <c r="AG500" s="321" t="s">
        <v>1636</v>
      </c>
      <c r="AH500" s="437" t="str">
        <f t="shared" si="40"/>
        <v>0</v>
      </c>
      <c r="AJ500" s="120"/>
      <c r="AK500" s="120" t="s">
        <v>147</v>
      </c>
      <c r="AL500" s="232" t="str">
        <f>VLOOKUP(AK500,'[3]17見直し計画'!$A$50:$AJ$584,6,0)</f>
        <v>　見直し計画策定以降の新規案件</v>
      </c>
      <c r="AM500" s="140">
        <f>VLOOKUP(AK500,'[3]17見直し計画'!$A$50:$AJ$584,8,0)</f>
        <v>0</v>
      </c>
      <c r="AN500" s="180"/>
      <c r="AO500" s="141">
        <f>VLOOKUP(AK500,'[3]17見直し計画'!$A$50:$AJ$584,11,0)</f>
        <v>0</v>
      </c>
      <c r="AP500" s="140">
        <f>VLOOKUP(AK500,'[3]17見直し計画'!$A$50:$AJ$584,12,0)</f>
        <v>0</v>
      </c>
      <c r="AQ500" s="140">
        <f>VLOOKUP(AK500,'[3]17見直し計画'!$A$50:$AJ$584,13,0)</f>
        <v>0</v>
      </c>
      <c r="AR500" s="140">
        <f>VLOOKUP(AK500,'[3]17見直し計画'!$A$50:$AJ$584,14,0)</f>
        <v>0</v>
      </c>
      <c r="AS500" s="140"/>
      <c r="AT500" s="140">
        <f>VLOOKUP(AK500,'[3]17見直し計画'!$A$50:$AJ$584,35,0)</f>
        <v>0</v>
      </c>
      <c r="AU500" s="140">
        <f>VLOOKUP(AK500,'[3]17見直し計画'!$A$50:$AJ$584,36,0)</f>
        <v>0</v>
      </c>
    </row>
    <row r="501" spans="1:47" ht="105" hidden="1" customHeight="1">
      <c r="A501" t="s">
        <v>148</v>
      </c>
      <c r="B501" s="590" t="s">
        <v>218</v>
      </c>
      <c r="C501" s="178" t="s">
        <v>135</v>
      </c>
      <c r="D501" s="143" t="s">
        <v>136</v>
      </c>
      <c r="E501">
        <f t="shared" si="41"/>
        <v>415</v>
      </c>
      <c r="F501" s="122">
        <v>26</v>
      </c>
      <c r="G501" s="123">
        <v>26</v>
      </c>
      <c r="H501" s="577">
        <v>2201321</v>
      </c>
      <c r="I501" s="424"/>
      <c r="J501" s="577"/>
      <c r="K501" s="577" t="s">
        <v>501</v>
      </c>
      <c r="L501" s="577" t="s">
        <v>2051</v>
      </c>
      <c r="M501" s="577" t="s">
        <v>1461</v>
      </c>
      <c r="N501" s="584" t="s">
        <v>138</v>
      </c>
      <c r="O501" s="585" t="s">
        <v>139</v>
      </c>
      <c r="P501" s="583" t="s">
        <v>122</v>
      </c>
      <c r="Q501" s="428" t="s">
        <v>2318</v>
      </c>
      <c r="R501" s="426" t="s">
        <v>2319</v>
      </c>
      <c r="S501" s="429" t="s">
        <v>1816</v>
      </c>
      <c r="T501" s="580">
        <v>40492</v>
      </c>
      <c r="U501" s="426" t="s">
        <v>2320</v>
      </c>
      <c r="V501" s="426" t="s">
        <v>2321</v>
      </c>
      <c r="W501" s="426" t="s">
        <v>2322</v>
      </c>
      <c r="X501" s="581">
        <v>1932210</v>
      </c>
      <c r="Y501" s="454">
        <v>869494</v>
      </c>
      <c r="Z501" s="433">
        <f t="shared" si="39"/>
        <v>0.44900000000000001</v>
      </c>
      <c r="AA501" s="434" t="s">
        <v>1445</v>
      </c>
      <c r="AB501" s="426" t="s">
        <v>2323</v>
      </c>
      <c r="AC501" s="548" t="s">
        <v>1445</v>
      </c>
      <c r="AD501" s="582" t="s">
        <v>146</v>
      </c>
      <c r="AE501" s="582"/>
      <c r="AF501" s="582"/>
      <c r="AG501" s="321" t="s">
        <v>1636</v>
      </c>
      <c r="AH501" s="437" t="str">
        <f t="shared" si="40"/>
        <v>0</v>
      </c>
      <c r="AJ501" s="120"/>
      <c r="AK501" s="120" t="s">
        <v>147</v>
      </c>
      <c r="AL501" s="232" t="str">
        <f>VLOOKUP(AK501,'[3]17見直し計画'!$A$50:$AJ$584,6,0)</f>
        <v>　見直し計画策定以降の新規案件</v>
      </c>
      <c r="AM501" s="140">
        <f>VLOOKUP(AK501,'[3]17見直し計画'!$A$50:$AJ$584,8,0)</f>
        <v>0</v>
      </c>
      <c r="AN501" s="180"/>
      <c r="AO501" s="141">
        <f>VLOOKUP(AK501,'[3]17見直し計画'!$A$50:$AJ$584,11,0)</f>
        <v>0</v>
      </c>
      <c r="AP501" s="140">
        <f>VLOOKUP(AK501,'[3]17見直し計画'!$A$50:$AJ$584,12,0)</f>
        <v>0</v>
      </c>
      <c r="AQ501" s="140">
        <f>VLOOKUP(AK501,'[3]17見直し計画'!$A$50:$AJ$584,13,0)</f>
        <v>0</v>
      </c>
      <c r="AR501" s="140">
        <f>VLOOKUP(AK501,'[3]17見直し計画'!$A$50:$AJ$584,14,0)</f>
        <v>0</v>
      </c>
      <c r="AS501" s="140"/>
      <c r="AT501" s="140">
        <f>VLOOKUP(AK501,'[3]17見直し計画'!$A$50:$AJ$584,35,0)</f>
        <v>0</v>
      </c>
      <c r="AU501" s="140">
        <f>VLOOKUP(AK501,'[3]17見直し計画'!$A$50:$AJ$584,36,0)</f>
        <v>0</v>
      </c>
    </row>
    <row r="502" spans="1:47" ht="105" hidden="1" customHeight="1">
      <c r="A502" t="s">
        <v>148</v>
      </c>
      <c r="B502" s="590" t="s">
        <v>218</v>
      </c>
      <c r="C502" s="178" t="s">
        <v>135</v>
      </c>
      <c r="D502" s="143" t="s">
        <v>136</v>
      </c>
      <c r="E502">
        <f t="shared" si="41"/>
        <v>416</v>
      </c>
      <c r="F502" s="122">
        <v>27</v>
      </c>
      <c r="G502" s="123">
        <v>27</v>
      </c>
      <c r="H502" s="577">
        <v>2201341</v>
      </c>
      <c r="I502" s="424"/>
      <c r="J502" s="577" t="s">
        <v>2324</v>
      </c>
      <c r="K502" s="577" t="s">
        <v>501</v>
      </c>
      <c r="L502" s="577" t="s">
        <v>2051</v>
      </c>
      <c r="M502" s="577" t="s">
        <v>1461</v>
      </c>
      <c r="N502" s="578" t="s">
        <v>138</v>
      </c>
      <c r="O502" s="579" t="s">
        <v>139</v>
      </c>
      <c r="P502" s="583" t="s">
        <v>122</v>
      </c>
      <c r="Q502" s="428" t="s">
        <v>2325</v>
      </c>
      <c r="R502" s="426" t="s">
        <v>2326</v>
      </c>
      <c r="S502" s="429" t="s">
        <v>1816</v>
      </c>
      <c r="T502" s="580">
        <v>40493</v>
      </c>
      <c r="U502" s="426" t="s">
        <v>2271</v>
      </c>
      <c r="V502" s="426" t="s">
        <v>2272</v>
      </c>
      <c r="W502" s="426" t="s">
        <v>2327</v>
      </c>
      <c r="X502" s="581">
        <v>7823280</v>
      </c>
      <c r="Y502" s="454">
        <v>3911640</v>
      </c>
      <c r="Z502" s="433">
        <f t="shared" si="39"/>
        <v>0.5</v>
      </c>
      <c r="AA502" s="434" t="s">
        <v>1445</v>
      </c>
      <c r="AB502" s="426" t="s">
        <v>2328</v>
      </c>
      <c r="AC502" s="548" t="s">
        <v>1445</v>
      </c>
      <c r="AD502" s="582" t="s">
        <v>146</v>
      </c>
      <c r="AE502" s="582"/>
      <c r="AF502" s="582"/>
      <c r="AG502" s="321" t="s">
        <v>1636</v>
      </c>
      <c r="AH502" s="437" t="str">
        <f t="shared" si="40"/>
        <v>0</v>
      </c>
      <c r="AJ502" s="120"/>
      <c r="AK502" s="120" t="s">
        <v>147</v>
      </c>
      <c r="AL502" s="232" t="str">
        <f>VLOOKUP(AK502,'[3]17見直し計画'!$A$50:$AJ$584,6,0)</f>
        <v>　見直し計画策定以降の新規案件</v>
      </c>
      <c r="AM502" s="140">
        <f>VLOOKUP(AK502,'[3]17見直し計画'!$A$50:$AJ$584,8,0)</f>
        <v>0</v>
      </c>
      <c r="AN502" s="180"/>
      <c r="AO502" s="141">
        <f>VLOOKUP(AK502,'[3]17見直し計画'!$A$50:$AJ$584,11,0)</f>
        <v>0</v>
      </c>
      <c r="AP502" s="140">
        <f>VLOOKUP(AK502,'[3]17見直し計画'!$A$50:$AJ$584,12,0)</f>
        <v>0</v>
      </c>
      <c r="AQ502" s="140">
        <f>VLOOKUP(AK502,'[3]17見直し計画'!$A$50:$AJ$584,13,0)</f>
        <v>0</v>
      </c>
      <c r="AR502" s="140">
        <f>VLOOKUP(AK502,'[3]17見直し計画'!$A$50:$AJ$584,14,0)</f>
        <v>0</v>
      </c>
      <c r="AS502" s="140"/>
      <c r="AT502" s="140">
        <f>VLOOKUP(AK502,'[3]17見直し計画'!$A$50:$AJ$584,35,0)</f>
        <v>0</v>
      </c>
      <c r="AU502" s="140">
        <f>VLOOKUP(AK502,'[3]17見直し計画'!$A$50:$AJ$584,36,0)</f>
        <v>0</v>
      </c>
    </row>
    <row r="503" spans="1:47" ht="105" hidden="1" customHeight="1">
      <c r="A503" t="s">
        <v>148</v>
      </c>
      <c r="B503" s="590" t="s">
        <v>218</v>
      </c>
      <c r="C503" s="178" t="s">
        <v>135</v>
      </c>
      <c r="D503" s="143" t="s">
        <v>136</v>
      </c>
      <c r="E503">
        <f t="shared" si="41"/>
        <v>417</v>
      </c>
      <c r="F503" s="122">
        <v>28</v>
      </c>
      <c r="G503" s="123">
        <v>28</v>
      </c>
      <c r="H503" s="577">
        <v>2201342</v>
      </c>
      <c r="I503" s="424"/>
      <c r="J503" s="577" t="s">
        <v>2329</v>
      </c>
      <c r="K503" s="577" t="s">
        <v>1130</v>
      </c>
      <c r="L503" s="577" t="s">
        <v>2051</v>
      </c>
      <c r="M503" s="577" t="s">
        <v>1461</v>
      </c>
      <c r="N503" s="109" t="s">
        <v>138</v>
      </c>
      <c r="O503" s="589" t="s">
        <v>139</v>
      </c>
      <c r="P503" s="583" t="s">
        <v>122</v>
      </c>
      <c r="Q503" s="428" t="s">
        <v>2330</v>
      </c>
      <c r="R503" s="426" t="s">
        <v>2331</v>
      </c>
      <c r="S503" s="429" t="s">
        <v>1816</v>
      </c>
      <c r="T503" s="580">
        <v>40493</v>
      </c>
      <c r="U503" s="426" t="s">
        <v>2332</v>
      </c>
      <c r="V503" s="426" t="s">
        <v>2272</v>
      </c>
      <c r="W503" s="426" t="s">
        <v>2327</v>
      </c>
      <c r="X503" s="581">
        <v>7747680</v>
      </c>
      <c r="Y503" s="454">
        <v>3873840</v>
      </c>
      <c r="Z503" s="433">
        <f t="shared" si="39"/>
        <v>0.5</v>
      </c>
      <c r="AA503" s="434" t="s">
        <v>1445</v>
      </c>
      <c r="AB503" s="426" t="s">
        <v>2333</v>
      </c>
      <c r="AC503" s="548" t="s">
        <v>1445</v>
      </c>
      <c r="AD503" s="582" t="s">
        <v>146</v>
      </c>
      <c r="AE503" s="582"/>
      <c r="AF503" s="582"/>
      <c r="AG503" s="321" t="s">
        <v>1636</v>
      </c>
      <c r="AH503" s="437" t="str">
        <f t="shared" si="40"/>
        <v>0</v>
      </c>
      <c r="AJ503" s="120"/>
      <c r="AK503" s="120" t="s">
        <v>147</v>
      </c>
      <c r="AL503" s="232" t="str">
        <f>VLOOKUP(AK503,'[3]17見直し計画'!$A$50:$AJ$584,6,0)</f>
        <v>　見直し計画策定以降の新規案件</v>
      </c>
      <c r="AM503" s="140">
        <f>VLOOKUP(AK503,'[3]17見直し計画'!$A$50:$AJ$584,8,0)</f>
        <v>0</v>
      </c>
      <c r="AN503" s="180"/>
      <c r="AO503" s="141">
        <f>VLOOKUP(AK503,'[3]17見直し計画'!$A$50:$AJ$584,11,0)</f>
        <v>0</v>
      </c>
      <c r="AP503" s="140">
        <f>VLOOKUP(AK503,'[3]17見直し計画'!$A$50:$AJ$584,12,0)</f>
        <v>0</v>
      </c>
      <c r="AQ503" s="140">
        <f>VLOOKUP(AK503,'[3]17見直し計画'!$A$50:$AJ$584,13,0)</f>
        <v>0</v>
      </c>
      <c r="AR503" s="140">
        <f>VLOOKUP(AK503,'[3]17見直し計画'!$A$50:$AJ$584,14,0)</f>
        <v>0</v>
      </c>
      <c r="AS503" s="140"/>
      <c r="AT503" s="140">
        <f>VLOOKUP(AK503,'[3]17見直し計画'!$A$50:$AJ$584,35,0)</f>
        <v>0</v>
      </c>
      <c r="AU503" s="140">
        <f>VLOOKUP(AK503,'[3]17見直し計画'!$A$50:$AJ$584,36,0)</f>
        <v>0</v>
      </c>
    </row>
    <row r="504" spans="1:47" ht="105" hidden="1" customHeight="1">
      <c r="A504" t="s">
        <v>148</v>
      </c>
      <c r="B504" s="590" t="s">
        <v>218</v>
      </c>
      <c r="C504" s="178" t="s">
        <v>135</v>
      </c>
      <c r="D504" s="143" t="s">
        <v>136</v>
      </c>
      <c r="E504">
        <f t="shared" si="41"/>
        <v>418</v>
      </c>
      <c r="F504" s="122">
        <v>29</v>
      </c>
      <c r="G504" s="123">
        <v>29</v>
      </c>
      <c r="H504" s="577">
        <v>2201344</v>
      </c>
      <c r="I504" s="424"/>
      <c r="J504" s="577" t="s">
        <v>2334</v>
      </c>
      <c r="K504" s="577" t="s">
        <v>1130</v>
      </c>
      <c r="L504" s="577" t="s">
        <v>2051</v>
      </c>
      <c r="M504" s="577" t="s">
        <v>1461</v>
      </c>
      <c r="N504" s="584" t="s">
        <v>138</v>
      </c>
      <c r="O504" s="585" t="s">
        <v>139</v>
      </c>
      <c r="P504" s="583" t="s">
        <v>122</v>
      </c>
      <c r="Q504" s="428" t="s">
        <v>2335</v>
      </c>
      <c r="R504" s="426" t="s">
        <v>2336</v>
      </c>
      <c r="S504" s="429" t="s">
        <v>1816</v>
      </c>
      <c r="T504" s="580">
        <v>40494</v>
      </c>
      <c r="U504" s="426" t="s">
        <v>2337</v>
      </c>
      <c r="V504" s="426" t="s">
        <v>2338</v>
      </c>
      <c r="W504" s="426" t="s">
        <v>2339</v>
      </c>
      <c r="X504" s="581">
        <v>8737150</v>
      </c>
      <c r="Y504" s="454">
        <v>4368575</v>
      </c>
      <c r="Z504" s="433">
        <f t="shared" si="39"/>
        <v>0.5</v>
      </c>
      <c r="AA504" s="434" t="s">
        <v>1445</v>
      </c>
      <c r="AB504" s="426" t="s">
        <v>2340</v>
      </c>
      <c r="AC504" s="548" t="s">
        <v>1445</v>
      </c>
      <c r="AD504" s="582" t="s">
        <v>146</v>
      </c>
      <c r="AE504" s="582"/>
      <c r="AF504" s="582"/>
      <c r="AG504" s="321" t="s">
        <v>1636</v>
      </c>
      <c r="AH504" s="437" t="str">
        <f t="shared" si="40"/>
        <v>0</v>
      </c>
      <c r="AJ504" s="120"/>
      <c r="AK504" s="120" t="s">
        <v>147</v>
      </c>
      <c r="AL504" s="232" t="str">
        <f>VLOOKUP(AK504,'[3]17見直し計画'!$A$50:$AJ$584,6,0)</f>
        <v>　見直し計画策定以降の新規案件</v>
      </c>
      <c r="AM504" s="140">
        <f>VLOOKUP(AK504,'[3]17見直し計画'!$A$50:$AJ$584,8,0)</f>
        <v>0</v>
      </c>
      <c r="AN504" s="180"/>
      <c r="AO504" s="141">
        <f>VLOOKUP(AK504,'[3]17見直し計画'!$A$50:$AJ$584,11,0)</f>
        <v>0</v>
      </c>
      <c r="AP504" s="140">
        <f>VLOOKUP(AK504,'[3]17見直し計画'!$A$50:$AJ$584,12,0)</f>
        <v>0</v>
      </c>
      <c r="AQ504" s="140">
        <f>VLOOKUP(AK504,'[3]17見直し計画'!$A$50:$AJ$584,13,0)</f>
        <v>0</v>
      </c>
      <c r="AR504" s="140">
        <f>VLOOKUP(AK504,'[3]17見直し計画'!$A$50:$AJ$584,14,0)</f>
        <v>0</v>
      </c>
      <c r="AS504" s="140"/>
      <c r="AT504" s="140">
        <f>VLOOKUP(AK504,'[3]17見直し計画'!$A$50:$AJ$584,35,0)</f>
        <v>0</v>
      </c>
      <c r="AU504" s="140">
        <f>VLOOKUP(AK504,'[3]17見直し計画'!$A$50:$AJ$584,36,0)</f>
        <v>0</v>
      </c>
    </row>
    <row r="505" spans="1:47" ht="105" hidden="1" customHeight="1">
      <c r="B505" s="590" t="s">
        <v>284</v>
      </c>
      <c r="C505" s="178" t="s">
        <v>135</v>
      </c>
      <c r="D505" s="143" t="s">
        <v>136</v>
      </c>
      <c r="E505">
        <f t="shared" si="41"/>
        <v>419</v>
      </c>
      <c r="F505" s="122">
        <v>30</v>
      </c>
      <c r="G505" s="123">
        <v>30</v>
      </c>
      <c r="H505" s="577">
        <v>2201232</v>
      </c>
      <c r="I505" s="424"/>
      <c r="J505" s="577" t="s">
        <v>2341</v>
      </c>
      <c r="K505" s="577" t="s">
        <v>1230</v>
      </c>
      <c r="L505" s="577" t="s">
        <v>1163</v>
      </c>
      <c r="M505" s="577" t="s">
        <v>1175</v>
      </c>
      <c r="N505" s="578" t="s">
        <v>138</v>
      </c>
      <c r="O505" s="579" t="s">
        <v>139</v>
      </c>
      <c r="P505" s="583" t="s">
        <v>122</v>
      </c>
      <c r="Q505" s="428" t="s">
        <v>2342</v>
      </c>
      <c r="R505" s="426" t="s">
        <v>2343</v>
      </c>
      <c r="S505" s="429" t="s">
        <v>1816</v>
      </c>
      <c r="T505" s="580">
        <v>40494</v>
      </c>
      <c r="U505" s="426" t="s">
        <v>1232</v>
      </c>
      <c r="V505" s="426" t="s">
        <v>1233</v>
      </c>
      <c r="W505" s="426" t="s">
        <v>2344</v>
      </c>
      <c r="X505" s="581">
        <v>1190300</v>
      </c>
      <c r="Y505" s="432">
        <v>1190300</v>
      </c>
      <c r="Z505" s="433">
        <f t="shared" si="39"/>
        <v>1</v>
      </c>
      <c r="AA505" s="434" t="s">
        <v>1445</v>
      </c>
      <c r="AB505" s="426"/>
      <c r="AC505" s="548" t="s">
        <v>1445</v>
      </c>
      <c r="AD505" s="582" t="s">
        <v>146</v>
      </c>
      <c r="AE505" s="582"/>
      <c r="AF505" s="582"/>
      <c r="AG505" s="321" t="s">
        <v>1636</v>
      </c>
      <c r="AH505" s="437" t="str">
        <f t="shared" si="40"/>
        <v>0</v>
      </c>
      <c r="AJ505" s="120"/>
      <c r="AK505" s="120" t="s">
        <v>147</v>
      </c>
      <c r="AL505" s="232" t="str">
        <f>VLOOKUP(AK505,'[3]17見直し計画'!$A$50:$AJ$584,6,0)</f>
        <v>　見直し計画策定以降の新規案件</v>
      </c>
      <c r="AM505" s="140">
        <f>VLOOKUP(AK505,'[3]17見直し計画'!$A$50:$AJ$584,8,0)</f>
        <v>0</v>
      </c>
      <c r="AN505" s="180"/>
      <c r="AO505" s="141">
        <f>VLOOKUP(AK505,'[3]17見直し計画'!$A$50:$AJ$584,11,0)</f>
        <v>0</v>
      </c>
      <c r="AP505" s="140">
        <f>VLOOKUP(AK505,'[3]17見直し計画'!$A$50:$AJ$584,12,0)</f>
        <v>0</v>
      </c>
      <c r="AQ505" s="140">
        <f>VLOOKUP(AK505,'[3]17見直し計画'!$A$50:$AJ$584,13,0)</f>
        <v>0</v>
      </c>
      <c r="AR505" s="140">
        <f>VLOOKUP(AK505,'[3]17見直し計画'!$A$50:$AJ$584,14,0)</f>
        <v>0</v>
      </c>
      <c r="AS505" s="140"/>
      <c r="AT505" s="140">
        <f>VLOOKUP(AK505,'[3]17見直し計画'!$A$50:$AJ$584,35,0)</f>
        <v>0</v>
      </c>
      <c r="AU505" s="140">
        <f>VLOOKUP(AK505,'[3]17見直し計画'!$A$50:$AJ$584,36,0)</f>
        <v>0</v>
      </c>
    </row>
    <row r="506" spans="1:47" ht="105" hidden="1" customHeight="1">
      <c r="B506" s="182"/>
      <c r="C506" s="182"/>
      <c r="D506" s="223" t="s">
        <v>421</v>
      </c>
      <c r="E506">
        <f t="shared" si="41"/>
        <v>420</v>
      </c>
      <c r="F506" s="185">
        <v>31</v>
      </c>
      <c r="G506" s="186">
        <v>31</v>
      </c>
      <c r="H506" s="593">
        <v>2201244</v>
      </c>
      <c r="I506" s="441"/>
      <c r="J506" s="593" t="s">
        <v>2345</v>
      </c>
      <c r="K506" s="593" t="s">
        <v>276</v>
      </c>
      <c r="L506" s="593" t="s">
        <v>1163</v>
      </c>
      <c r="M506" s="593" t="s">
        <v>1713</v>
      </c>
      <c r="N506" s="594" t="s">
        <v>230</v>
      </c>
      <c r="O506" s="595" t="s">
        <v>139</v>
      </c>
      <c r="P506" s="596" t="s">
        <v>2251</v>
      </c>
      <c r="Q506" s="444" t="s">
        <v>2346</v>
      </c>
      <c r="R506" s="442" t="s">
        <v>2347</v>
      </c>
      <c r="S506" s="445" t="s">
        <v>1816</v>
      </c>
      <c r="T506" s="597">
        <v>40499</v>
      </c>
      <c r="U506" s="442" t="s">
        <v>2348</v>
      </c>
      <c r="V506" s="442" t="s">
        <v>2011</v>
      </c>
      <c r="W506" s="442" t="s">
        <v>1643</v>
      </c>
      <c r="X506" s="422">
        <v>6274000</v>
      </c>
      <c r="Y506" s="409">
        <v>6186000</v>
      </c>
      <c r="Z506" s="448">
        <f t="shared" si="39"/>
        <v>0.98499999999999999</v>
      </c>
      <c r="AA506" s="527" t="s">
        <v>1445</v>
      </c>
      <c r="AB506" s="442"/>
      <c r="AC506" s="598">
        <v>2</v>
      </c>
      <c r="AD506" s="599" t="s">
        <v>427</v>
      </c>
      <c r="AE506" s="599"/>
      <c r="AF506" s="599"/>
      <c r="AG506" s="328" t="s">
        <v>1636</v>
      </c>
      <c r="AH506" s="201" t="str">
        <f t="shared" si="40"/>
        <v>0</v>
      </c>
      <c r="AI506" s="184"/>
      <c r="AJ506" s="182"/>
      <c r="AK506" s="182" t="s">
        <v>147</v>
      </c>
      <c r="AL506" s="231" t="str">
        <f>VLOOKUP(AK506,'[3]17見直し計画'!$A$50:$AJ$584,6,0)</f>
        <v>　見直し計画策定以降の新規案件</v>
      </c>
      <c r="AM506" s="204">
        <f>VLOOKUP(AK506,'[3]17見直し計画'!$A$50:$AJ$584,8,0)</f>
        <v>0</v>
      </c>
      <c r="AN506" s="224"/>
      <c r="AO506" s="205">
        <f>VLOOKUP(AK506,'[3]17見直し計画'!$A$50:$AJ$584,11,0)</f>
        <v>0</v>
      </c>
      <c r="AP506" s="204">
        <f>VLOOKUP(AK506,'[3]17見直し計画'!$A$50:$AJ$584,12,0)</f>
        <v>0</v>
      </c>
      <c r="AQ506" s="204">
        <f>VLOOKUP(AK506,'[3]17見直し計画'!$A$50:$AJ$584,13,0)</f>
        <v>0</v>
      </c>
      <c r="AR506" s="204">
        <f>VLOOKUP(AK506,'[3]17見直し計画'!$A$50:$AJ$584,14,0)</f>
        <v>0</v>
      </c>
      <c r="AS506" s="204"/>
      <c r="AT506" s="204">
        <f>VLOOKUP(AK506,'[3]17見直し計画'!$A$50:$AJ$584,35,0)</f>
        <v>0</v>
      </c>
      <c r="AU506" s="204">
        <f>VLOOKUP(AK506,'[3]17見直し計画'!$A$50:$AJ$584,36,0)</f>
        <v>0</v>
      </c>
    </row>
    <row r="507" spans="1:47" ht="105" hidden="1" customHeight="1">
      <c r="B507" s="590" t="s">
        <v>134</v>
      </c>
      <c r="C507" s="178" t="s">
        <v>135</v>
      </c>
      <c r="D507" s="143" t="s">
        <v>136</v>
      </c>
      <c r="E507">
        <f t="shared" si="41"/>
        <v>421</v>
      </c>
      <c r="F507" s="122">
        <v>32</v>
      </c>
      <c r="G507" s="123">
        <v>32</v>
      </c>
      <c r="H507" s="577">
        <v>2201242</v>
      </c>
      <c r="I507" s="424"/>
      <c r="J507" s="577" t="s">
        <v>2349</v>
      </c>
      <c r="K507" s="577" t="s">
        <v>680</v>
      </c>
      <c r="L507" s="577" t="s">
        <v>1182</v>
      </c>
      <c r="M507" s="577" t="s">
        <v>1183</v>
      </c>
      <c r="N507" s="584" t="s">
        <v>138</v>
      </c>
      <c r="O507" s="585" t="s">
        <v>139</v>
      </c>
      <c r="P507" s="583" t="s">
        <v>122</v>
      </c>
      <c r="Q507" s="428" t="s">
        <v>2350</v>
      </c>
      <c r="R507" s="426" t="s">
        <v>2351</v>
      </c>
      <c r="S507" s="429" t="s">
        <v>1816</v>
      </c>
      <c r="T507" s="580">
        <v>40499</v>
      </c>
      <c r="U507" s="426" t="s">
        <v>222</v>
      </c>
      <c r="V507" s="426" t="s">
        <v>333</v>
      </c>
      <c r="W507" s="426" t="s">
        <v>2352</v>
      </c>
      <c r="X507" s="581">
        <v>5140800</v>
      </c>
      <c r="Y507" s="432">
        <v>5140800</v>
      </c>
      <c r="Z507" s="433">
        <f t="shared" si="39"/>
        <v>1</v>
      </c>
      <c r="AA507" s="434" t="s">
        <v>1445</v>
      </c>
      <c r="AB507" s="426"/>
      <c r="AC507" s="548" t="s">
        <v>1445</v>
      </c>
      <c r="AD507" s="582" t="s">
        <v>146</v>
      </c>
      <c r="AE507" s="582"/>
      <c r="AF507" s="582"/>
      <c r="AG507" s="321" t="s">
        <v>1636</v>
      </c>
      <c r="AH507" s="437" t="str">
        <f t="shared" si="40"/>
        <v>0</v>
      </c>
      <c r="AJ507" s="179" t="s">
        <v>684</v>
      </c>
      <c r="AK507" s="120" t="s">
        <v>147</v>
      </c>
      <c r="AL507" s="232" t="str">
        <f>VLOOKUP(AK507,'[3]17見直し計画'!$A$50:$AJ$584,6,0)</f>
        <v>　見直し計画策定以降の新規案件</v>
      </c>
      <c r="AM507" s="140">
        <f>VLOOKUP(AK507,'[3]17見直し計画'!$A$50:$AJ$584,8,0)</f>
        <v>0</v>
      </c>
      <c r="AN507" s="180"/>
      <c r="AO507" s="141">
        <f>VLOOKUP(AK507,'[3]17見直し計画'!$A$50:$AJ$584,11,0)</f>
        <v>0</v>
      </c>
      <c r="AP507" s="140">
        <f>VLOOKUP(AK507,'[3]17見直し計画'!$A$50:$AJ$584,12,0)</f>
        <v>0</v>
      </c>
      <c r="AQ507" s="140">
        <f>VLOOKUP(AK507,'[3]17見直し計画'!$A$50:$AJ$584,13,0)</f>
        <v>0</v>
      </c>
      <c r="AR507" s="140">
        <f>VLOOKUP(AK507,'[3]17見直し計画'!$A$50:$AJ$584,14,0)</f>
        <v>0</v>
      </c>
      <c r="AS507" s="140"/>
      <c r="AT507" s="140">
        <f>VLOOKUP(AK507,'[3]17見直し計画'!$A$50:$AJ$584,35,0)</f>
        <v>0</v>
      </c>
      <c r="AU507" s="140">
        <f>VLOOKUP(AK507,'[3]17見直し計画'!$A$50:$AJ$584,36,0)</f>
        <v>0</v>
      </c>
    </row>
    <row r="508" spans="1:47" ht="105" customHeight="1">
      <c r="A508" t="s">
        <v>148</v>
      </c>
      <c r="B508" s="126" t="s">
        <v>1495</v>
      </c>
      <c r="C508" s="120" t="s">
        <v>350</v>
      </c>
      <c r="D508" s="120" t="s">
        <v>477</v>
      </c>
      <c r="E508">
        <f t="shared" si="41"/>
        <v>422</v>
      </c>
      <c r="F508" s="122">
        <v>33</v>
      </c>
      <c r="G508" s="123">
        <v>33</v>
      </c>
      <c r="H508" s="577">
        <v>2201269</v>
      </c>
      <c r="I508" s="424"/>
      <c r="J508" s="577" t="s">
        <v>2353</v>
      </c>
      <c r="K508" s="577" t="s">
        <v>2354</v>
      </c>
      <c r="L508" s="577" t="s">
        <v>1190</v>
      </c>
      <c r="M508" s="577" t="s">
        <v>1448</v>
      </c>
      <c r="N508" s="578" t="s">
        <v>138</v>
      </c>
      <c r="O508" s="579" t="s">
        <v>139</v>
      </c>
      <c r="P508" s="583" t="s">
        <v>122</v>
      </c>
      <c r="Q508" s="428" t="s">
        <v>2355</v>
      </c>
      <c r="R508" s="426" t="s">
        <v>2356</v>
      </c>
      <c r="S508" s="429" t="s">
        <v>1816</v>
      </c>
      <c r="T508" s="580">
        <v>40501</v>
      </c>
      <c r="U508" s="426" t="s">
        <v>1837</v>
      </c>
      <c r="V508" s="426" t="s">
        <v>1499</v>
      </c>
      <c r="W508" s="426" t="s">
        <v>1785</v>
      </c>
      <c r="X508" s="581">
        <v>2196450</v>
      </c>
      <c r="Y508" s="432">
        <v>2196450</v>
      </c>
      <c r="Z508" s="433">
        <f t="shared" si="39"/>
        <v>1</v>
      </c>
      <c r="AA508" s="434" t="s">
        <v>1445</v>
      </c>
      <c r="AB508" s="426"/>
      <c r="AC508" s="548" t="s">
        <v>1445</v>
      </c>
      <c r="AD508" s="582" t="s">
        <v>146</v>
      </c>
      <c r="AE508" s="582"/>
      <c r="AF508" s="582"/>
      <c r="AG508" s="321" t="s">
        <v>1636</v>
      </c>
      <c r="AH508" s="437" t="str">
        <f t="shared" si="40"/>
        <v>0</v>
      </c>
      <c r="AJ508" s="120"/>
      <c r="AK508" s="120" t="s">
        <v>147</v>
      </c>
      <c r="AL508" s="232" t="str">
        <f>VLOOKUP(AK508,'[3]17見直し計画'!$A$50:$AJ$584,6,0)</f>
        <v>　見直し計画策定以降の新規案件</v>
      </c>
      <c r="AM508" s="140">
        <f>VLOOKUP(AK508,'[3]17見直し計画'!$A$50:$AJ$584,8,0)</f>
        <v>0</v>
      </c>
      <c r="AN508" s="180"/>
      <c r="AO508" s="141">
        <f>VLOOKUP(AK508,'[3]17見直し計画'!$A$50:$AJ$584,11,0)</f>
        <v>0</v>
      </c>
      <c r="AP508" s="140">
        <f>VLOOKUP(AK508,'[3]17見直し計画'!$A$50:$AJ$584,12,0)</f>
        <v>0</v>
      </c>
      <c r="AQ508" s="140">
        <f>VLOOKUP(AK508,'[3]17見直し計画'!$A$50:$AJ$584,13,0)</f>
        <v>0</v>
      </c>
      <c r="AR508" s="140">
        <f>VLOOKUP(AK508,'[3]17見直し計画'!$A$50:$AJ$584,14,0)</f>
        <v>0</v>
      </c>
      <c r="AS508" s="140"/>
      <c r="AT508" s="140">
        <f>VLOOKUP(AK508,'[3]17見直し計画'!$A$50:$AJ$584,35,0)</f>
        <v>0</v>
      </c>
      <c r="AU508" s="140">
        <f>VLOOKUP(AK508,'[3]17見直し計画'!$A$50:$AJ$584,36,0)</f>
        <v>0</v>
      </c>
    </row>
    <row r="509" spans="1:47" ht="105" hidden="1" customHeight="1">
      <c r="B509" s="578" t="s">
        <v>218</v>
      </c>
      <c r="C509" s="120" t="s">
        <v>135</v>
      </c>
      <c r="D509" s="143" t="s">
        <v>136</v>
      </c>
      <c r="E509">
        <f>SUM(E508+1)</f>
        <v>423</v>
      </c>
      <c r="F509" s="122">
        <v>34</v>
      </c>
      <c r="G509" s="123">
        <v>34</v>
      </c>
      <c r="H509" s="577">
        <v>2201291</v>
      </c>
      <c r="I509" s="459"/>
      <c r="J509" s="577" t="s">
        <v>2357</v>
      </c>
      <c r="K509" s="577" t="s">
        <v>195</v>
      </c>
      <c r="L509" s="577" t="s">
        <v>1163</v>
      </c>
      <c r="M509" s="577" t="s">
        <v>1456</v>
      </c>
      <c r="N509" s="578" t="s">
        <v>138</v>
      </c>
      <c r="O509" s="579" t="s">
        <v>139</v>
      </c>
      <c r="P509" s="583" t="s">
        <v>122</v>
      </c>
      <c r="Q509" s="428" t="s">
        <v>2358</v>
      </c>
      <c r="R509" s="426" t="s">
        <v>2359</v>
      </c>
      <c r="S509" s="429" t="s">
        <v>1816</v>
      </c>
      <c r="T509" s="580">
        <v>40504</v>
      </c>
      <c r="U509" s="426" t="s">
        <v>2360</v>
      </c>
      <c r="V509" s="426" t="s">
        <v>2361</v>
      </c>
      <c r="W509" s="426" t="s">
        <v>2362</v>
      </c>
      <c r="X509" s="581">
        <v>1386000</v>
      </c>
      <c r="Y509" s="432">
        <v>1386000</v>
      </c>
      <c r="Z509" s="433">
        <f t="shared" si="39"/>
        <v>1</v>
      </c>
      <c r="AA509" s="434" t="s">
        <v>1445</v>
      </c>
      <c r="AB509" s="426"/>
      <c r="AC509" s="548" t="s">
        <v>1445</v>
      </c>
      <c r="AD509" s="591" t="s">
        <v>146</v>
      </c>
      <c r="AE509" s="591"/>
      <c r="AF509" s="591"/>
      <c r="AG509" s="321" t="s">
        <v>1636</v>
      </c>
      <c r="AH509" s="437" t="str">
        <f t="shared" si="40"/>
        <v>0</v>
      </c>
      <c r="AJ509" s="120"/>
      <c r="AK509" s="120" t="s">
        <v>147</v>
      </c>
      <c r="AL509" s="232" t="str">
        <f>VLOOKUP(AK509,'[3]17見直し計画'!$A$50:$AJ$584,6,0)</f>
        <v>　見直し計画策定以降の新規案件</v>
      </c>
      <c r="AM509" s="140">
        <f>VLOOKUP(AK509,'[3]17見直し計画'!$A$50:$AJ$584,8,0)</f>
        <v>0</v>
      </c>
      <c r="AN509" s="180"/>
      <c r="AO509" s="141">
        <f>VLOOKUP(AK509,'[3]17見直し計画'!$A$50:$AJ$584,11,0)</f>
        <v>0</v>
      </c>
      <c r="AP509" s="140">
        <f>VLOOKUP(AK509,'[3]17見直し計画'!$A$50:$AJ$584,12,0)</f>
        <v>0</v>
      </c>
      <c r="AQ509" s="140">
        <f>VLOOKUP(AK509,'[3]17見直し計画'!$A$50:$AJ$584,13,0)</f>
        <v>0</v>
      </c>
      <c r="AR509" s="140">
        <f>VLOOKUP(AK509,'[3]17見直し計画'!$A$50:$AJ$584,14,0)</f>
        <v>0</v>
      </c>
      <c r="AS509" s="140"/>
      <c r="AT509" s="140">
        <f>VLOOKUP(AK509,'[3]17見直し計画'!$A$50:$AJ$584,35,0)</f>
        <v>0</v>
      </c>
      <c r="AU509" s="140">
        <f>VLOOKUP(AK509,'[3]17見直し計画'!$A$50:$AJ$584,36,0)</f>
        <v>0</v>
      </c>
    </row>
    <row r="510" spans="1:47" ht="105" hidden="1" customHeight="1">
      <c r="B510" s="575" t="s">
        <v>284</v>
      </c>
      <c r="C510" s="576" t="s">
        <v>135</v>
      </c>
      <c r="D510" s="226" t="s">
        <v>136</v>
      </c>
      <c r="E510">
        <f t="shared" si="41"/>
        <v>424</v>
      </c>
      <c r="F510" s="122">
        <v>35</v>
      </c>
      <c r="G510" s="123">
        <v>35</v>
      </c>
      <c r="H510" s="577">
        <v>2201181</v>
      </c>
      <c r="I510" s="424"/>
      <c r="J510" s="577"/>
      <c r="K510" s="577" t="s">
        <v>345</v>
      </c>
      <c r="L510" s="577" t="s">
        <v>2189</v>
      </c>
      <c r="M510" s="577" t="s">
        <v>2363</v>
      </c>
      <c r="N510" s="584" t="s">
        <v>138</v>
      </c>
      <c r="O510" s="585" t="s">
        <v>139</v>
      </c>
      <c r="P510" s="583" t="s">
        <v>122</v>
      </c>
      <c r="Q510" s="428" t="s">
        <v>2364</v>
      </c>
      <c r="R510" s="426" t="s">
        <v>2365</v>
      </c>
      <c r="S510" s="429" t="s">
        <v>1816</v>
      </c>
      <c r="T510" s="580">
        <v>40507</v>
      </c>
      <c r="U510" s="426" t="s">
        <v>2366</v>
      </c>
      <c r="V510" s="426" t="s">
        <v>2367</v>
      </c>
      <c r="W510" s="426" t="s">
        <v>2187</v>
      </c>
      <c r="X510" s="581">
        <v>4086180</v>
      </c>
      <c r="Y510" s="432">
        <v>4086180</v>
      </c>
      <c r="Z510" s="433">
        <f t="shared" si="39"/>
        <v>1</v>
      </c>
      <c r="AA510" s="434" t="s">
        <v>1445</v>
      </c>
      <c r="AB510" s="426"/>
      <c r="AC510" s="548" t="s">
        <v>1445</v>
      </c>
      <c r="AD510" s="582" t="s">
        <v>146</v>
      </c>
      <c r="AE510" s="582"/>
      <c r="AF510" s="582"/>
      <c r="AG510" s="321" t="s">
        <v>1636</v>
      </c>
      <c r="AH510" s="437" t="str">
        <f t="shared" si="40"/>
        <v>0</v>
      </c>
      <c r="AJ510" s="120"/>
      <c r="AK510" s="120" t="s">
        <v>147</v>
      </c>
      <c r="AL510" s="232" t="str">
        <f>VLOOKUP(AK510,'[3]17見直し計画'!$A$50:$AJ$584,6,0)</f>
        <v>　見直し計画策定以降の新規案件</v>
      </c>
      <c r="AM510" s="140">
        <f>VLOOKUP(AK510,'[3]17見直し計画'!$A$50:$AJ$584,8,0)</f>
        <v>0</v>
      </c>
      <c r="AN510" s="180"/>
      <c r="AO510" s="141">
        <f>VLOOKUP(AK510,'[3]17見直し計画'!$A$50:$AJ$584,11,0)</f>
        <v>0</v>
      </c>
      <c r="AP510" s="140">
        <f>VLOOKUP(AK510,'[3]17見直し計画'!$A$50:$AJ$584,12,0)</f>
        <v>0</v>
      </c>
      <c r="AQ510" s="140">
        <f>VLOOKUP(AK510,'[3]17見直し計画'!$A$50:$AJ$584,13,0)</f>
        <v>0</v>
      </c>
      <c r="AR510" s="140">
        <f>VLOOKUP(AK510,'[3]17見直し計画'!$A$50:$AJ$584,14,0)</f>
        <v>0</v>
      </c>
      <c r="AS510" s="140"/>
      <c r="AT510" s="140">
        <f>VLOOKUP(AK510,'[3]17見直し計画'!$A$50:$AJ$584,35,0)</f>
        <v>0</v>
      </c>
      <c r="AU510" s="140">
        <f>VLOOKUP(AK510,'[3]17見直し計画'!$A$50:$AJ$584,36,0)</f>
        <v>0</v>
      </c>
    </row>
    <row r="511" spans="1:47" ht="105" customHeight="1">
      <c r="A511" t="s">
        <v>148</v>
      </c>
      <c r="B511" s="126" t="s">
        <v>1495</v>
      </c>
      <c r="C511" s="120" t="s">
        <v>350</v>
      </c>
      <c r="D511" s="120" t="s">
        <v>477</v>
      </c>
      <c r="E511">
        <f t="shared" si="41"/>
        <v>425</v>
      </c>
      <c r="F511" s="122">
        <v>36</v>
      </c>
      <c r="G511" s="123">
        <v>36</v>
      </c>
      <c r="H511" s="577">
        <v>2201275</v>
      </c>
      <c r="I511" s="424"/>
      <c r="J511" s="577" t="s">
        <v>2368</v>
      </c>
      <c r="K511" s="577" t="s">
        <v>680</v>
      </c>
      <c r="L511" s="577" t="s">
        <v>1190</v>
      </c>
      <c r="M511" s="577" t="s">
        <v>2078</v>
      </c>
      <c r="N511" s="584" t="s">
        <v>138</v>
      </c>
      <c r="O511" s="585" t="s">
        <v>139</v>
      </c>
      <c r="P511" s="583" t="s">
        <v>122</v>
      </c>
      <c r="Q511" s="428" t="s">
        <v>2369</v>
      </c>
      <c r="R511" s="426" t="s">
        <v>2370</v>
      </c>
      <c r="S511" s="429" t="s">
        <v>1816</v>
      </c>
      <c r="T511" s="580">
        <v>40508</v>
      </c>
      <c r="U511" s="426" t="s">
        <v>2371</v>
      </c>
      <c r="V511" s="426" t="s">
        <v>1437</v>
      </c>
      <c r="W511" s="426" t="s">
        <v>1785</v>
      </c>
      <c r="X511" s="581">
        <v>4412302</v>
      </c>
      <c r="Y511" s="432">
        <v>4412302</v>
      </c>
      <c r="Z511" s="433">
        <f t="shared" si="39"/>
        <v>1</v>
      </c>
      <c r="AA511" s="434" t="s">
        <v>1445</v>
      </c>
      <c r="AB511" s="426"/>
      <c r="AC511" s="548" t="s">
        <v>1445</v>
      </c>
      <c r="AD511" s="582" t="s">
        <v>146</v>
      </c>
      <c r="AE511" s="582"/>
      <c r="AF511" s="582"/>
      <c r="AG511" s="321" t="s">
        <v>1636</v>
      </c>
      <c r="AH511" s="437" t="str">
        <f t="shared" si="40"/>
        <v>0</v>
      </c>
      <c r="AJ511" s="120"/>
      <c r="AK511" s="120" t="s">
        <v>147</v>
      </c>
      <c r="AL511" s="232" t="str">
        <f>VLOOKUP(AK511,'[3]17見直し計画'!$A$50:$AJ$584,6,0)</f>
        <v>　見直し計画策定以降の新規案件</v>
      </c>
      <c r="AM511" s="140">
        <f>VLOOKUP(AK511,'[3]17見直し計画'!$A$50:$AJ$584,8,0)</f>
        <v>0</v>
      </c>
      <c r="AN511" s="180"/>
      <c r="AO511" s="141">
        <f>VLOOKUP(AK511,'[3]17見直し計画'!$A$50:$AJ$584,11,0)</f>
        <v>0</v>
      </c>
      <c r="AP511" s="140">
        <f>VLOOKUP(AK511,'[3]17見直し計画'!$A$50:$AJ$584,12,0)</f>
        <v>0</v>
      </c>
      <c r="AQ511" s="140">
        <f>VLOOKUP(AK511,'[3]17見直し計画'!$A$50:$AJ$584,13,0)</f>
        <v>0</v>
      </c>
      <c r="AR511" s="140">
        <f>VLOOKUP(AK511,'[3]17見直し計画'!$A$50:$AJ$584,14,0)</f>
        <v>0</v>
      </c>
      <c r="AS511" s="140"/>
      <c r="AT511" s="140">
        <f>VLOOKUP(AK511,'[3]17見直し計画'!$A$50:$AJ$584,35,0)</f>
        <v>0</v>
      </c>
      <c r="AU511" s="140">
        <f>VLOOKUP(AK511,'[3]17見直し計画'!$A$50:$AJ$584,36,0)</f>
        <v>0</v>
      </c>
    </row>
    <row r="512" spans="1:47" ht="105" hidden="1" customHeight="1">
      <c r="B512" s="578" t="s">
        <v>134</v>
      </c>
      <c r="C512" s="120" t="s">
        <v>135</v>
      </c>
      <c r="D512" s="120" t="s">
        <v>136</v>
      </c>
      <c r="E512">
        <f>SUM(E511+1)</f>
        <v>426</v>
      </c>
      <c r="F512" s="122">
        <v>37</v>
      </c>
      <c r="G512" s="123">
        <v>37</v>
      </c>
      <c r="H512" s="577">
        <v>2201271</v>
      </c>
      <c r="I512" s="424"/>
      <c r="J512" s="577" t="s">
        <v>2372</v>
      </c>
      <c r="K512" s="577" t="s">
        <v>195</v>
      </c>
      <c r="L512" s="577" t="s">
        <v>1182</v>
      </c>
      <c r="M512" s="577" t="s">
        <v>1183</v>
      </c>
      <c r="N512" s="584" t="s">
        <v>138</v>
      </c>
      <c r="O512" s="585" t="s">
        <v>139</v>
      </c>
      <c r="P512" s="583" t="s">
        <v>122</v>
      </c>
      <c r="Q512" s="428" t="s">
        <v>2373</v>
      </c>
      <c r="R512" s="426" t="s">
        <v>2374</v>
      </c>
      <c r="S512" s="429" t="s">
        <v>1816</v>
      </c>
      <c r="T512" s="580">
        <v>40511</v>
      </c>
      <c r="U512" s="426" t="s">
        <v>1238</v>
      </c>
      <c r="V512" s="426" t="s">
        <v>304</v>
      </c>
      <c r="W512" s="426" t="s">
        <v>1695</v>
      </c>
      <c r="X512" s="581">
        <v>104607625</v>
      </c>
      <c r="Y512" s="432">
        <v>104607625</v>
      </c>
      <c r="Z512" s="433">
        <f t="shared" si="39"/>
        <v>1</v>
      </c>
      <c r="AA512" s="434" t="s">
        <v>1445</v>
      </c>
      <c r="AB512" s="426"/>
      <c r="AC512" s="548" t="s">
        <v>1445</v>
      </c>
      <c r="AD512" s="582" t="s">
        <v>146</v>
      </c>
      <c r="AE512" s="582"/>
      <c r="AF512" s="582"/>
      <c r="AG512" s="321" t="s">
        <v>1636</v>
      </c>
      <c r="AH512" s="437" t="str">
        <f t="shared" si="40"/>
        <v>0</v>
      </c>
      <c r="AJ512" s="120"/>
      <c r="AK512" s="120" t="s">
        <v>147</v>
      </c>
      <c r="AL512" s="232" t="str">
        <f>VLOOKUP(AK512,'[3]17見直し計画'!$A$50:$AJ$584,6,0)</f>
        <v>　見直し計画策定以降の新規案件</v>
      </c>
      <c r="AM512" s="140">
        <f>VLOOKUP(AK512,'[3]17見直し計画'!$A$50:$AJ$584,8,0)</f>
        <v>0</v>
      </c>
      <c r="AN512" s="180"/>
      <c r="AO512" s="141">
        <f>VLOOKUP(AK512,'[3]17見直し計画'!$A$50:$AJ$584,11,0)</f>
        <v>0</v>
      </c>
      <c r="AP512" s="140">
        <f>VLOOKUP(AK512,'[3]17見直し計画'!$A$50:$AJ$584,12,0)</f>
        <v>0</v>
      </c>
      <c r="AQ512" s="140">
        <f>VLOOKUP(AK512,'[3]17見直し計画'!$A$50:$AJ$584,13,0)</f>
        <v>0</v>
      </c>
      <c r="AR512" s="140">
        <f>VLOOKUP(AK512,'[3]17見直し計画'!$A$50:$AJ$584,14,0)</f>
        <v>0</v>
      </c>
      <c r="AS512" s="140"/>
      <c r="AT512" s="140">
        <f>VLOOKUP(AK512,'[3]17見直し計画'!$A$50:$AJ$584,35,0)</f>
        <v>0</v>
      </c>
      <c r="AU512" s="140">
        <f>VLOOKUP(AK512,'[3]17見直し計画'!$A$50:$AJ$584,36,0)</f>
        <v>0</v>
      </c>
    </row>
    <row r="513" spans="1:47" ht="105" hidden="1" customHeight="1">
      <c r="B513" s="182"/>
      <c r="C513" s="182"/>
      <c r="D513" s="223" t="s">
        <v>421</v>
      </c>
      <c r="E513">
        <f t="shared" si="41"/>
        <v>427</v>
      </c>
      <c r="F513" s="185">
        <v>38</v>
      </c>
      <c r="G513" s="186">
        <v>38</v>
      </c>
      <c r="H513" s="593">
        <v>2201304</v>
      </c>
      <c r="I513" s="441"/>
      <c r="J513" s="593" t="s">
        <v>2375</v>
      </c>
      <c r="K513" s="593" t="s">
        <v>2077</v>
      </c>
      <c r="L513" s="593" t="s">
        <v>1190</v>
      </c>
      <c r="M513" s="593" t="s">
        <v>1448</v>
      </c>
      <c r="N513" s="605" t="s">
        <v>230</v>
      </c>
      <c r="O513" s="606" t="s">
        <v>139</v>
      </c>
      <c r="P513" s="596" t="s">
        <v>2251</v>
      </c>
      <c r="Q513" s="444" t="s">
        <v>2376</v>
      </c>
      <c r="R513" s="442" t="s">
        <v>2377</v>
      </c>
      <c r="S513" s="445" t="s">
        <v>1816</v>
      </c>
      <c r="T513" s="597">
        <v>40511</v>
      </c>
      <c r="U513" s="442" t="s">
        <v>1450</v>
      </c>
      <c r="V513" s="442" t="s">
        <v>1451</v>
      </c>
      <c r="W513" s="442" t="s">
        <v>2378</v>
      </c>
      <c r="X513" s="422">
        <v>4650000</v>
      </c>
      <c r="Y513" s="409">
        <v>4528072</v>
      </c>
      <c r="Z513" s="448">
        <f t="shared" si="39"/>
        <v>0.97299999999999998</v>
      </c>
      <c r="AA513" s="449">
        <v>1</v>
      </c>
      <c r="AB513" s="448" t="s">
        <v>1122</v>
      </c>
      <c r="AC513" s="598">
        <v>1</v>
      </c>
      <c r="AD513" s="599" t="s">
        <v>631</v>
      </c>
      <c r="AE513" s="599"/>
      <c r="AF513" s="599"/>
      <c r="AG513" s="328" t="s">
        <v>1636</v>
      </c>
      <c r="AH513" s="201" t="str">
        <f t="shared" si="40"/>
        <v>0</v>
      </c>
      <c r="AI513" s="184"/>
      <c r="AJ513" s="607" t="s">
        <v>2379</v>
      </c>
      <c r="AK513" s="182" t="s">
        <v>2380</v>
      </c>
      <c r="AL513" s="231" t="str">
        <f>VLOOKUP(AK513,'[3]17見直し計画'!$A$50:$AJ$584,6,0)</f>
        <v>財団法人　　　日本国際問題研究所</v>
      </c>
      <c r="AM513" s="204" t="str">
        <f>VLOOKUP(AK513,'[3]17見直し計画'!$A$50:$AJ$584,8,0)</f>
        <v>日豪１．５トラック安全保障対話</v>
      </c>
      <c r="AN513" s="224" t="str">
        <f>VLOOKUP(AK513,'[3]17見直し計画'!$A$50:$AJ$584,10,0)</f>
        <v>平成17/07/15</v>
      </c>
      <c r="AO513" s="205">
        <f>VLOOKUP(AK513,'[3]17見直し計画'!$A$50:$AJ$584,11,0)</f>
        <v>2297558</v>
      </c>
      <c r="AP513" s="204" t="str">
        <f>VLOOKUP(AK513,'[3]17見直し計画'!$A$50:$AJ$584,12,0)</f>
        <v>当該財団は、日豪間の合意により、本件事業において、豪側の窓口である豪戦略政策研究所のカウンターパートとして日本側の窓口となっており、本件事業は当該財団に委嘱する以外に選択肢はない（会計法第２９条の３第４項）。</v>
      </c>
      <c r="AQ513" s="204" t="str">
        <f>VLOOKUP(AK513,'[3]17見直し計画'!$A$50:$AJ$584,13,0)</f>
        <v>見直しの余地があるもの</v>
      </c>
      <c r="AR513" s="204" t="str">
        <f>VLOOKUP(AK513,'[3]17見直し計画'!$A$50:$AJ$584,14,0)</f>
        <v>一般競争入札等に移行するための準備に時間を要するもの（１９年度以降において公募実施、但し関係国の同意が必要）</v>
      </c>
      <c r="AS513" s="204"/>
      <c r="AT513" s="204">
        <f>VLOOKUP(AK513,'[3]17見直し計画'!$A$50:$AJ$584,35,0)</f>
        <v>0</v>
      </c>
      <c r="AU513" s="204">
        <f>VLOOKUP(AK513,'[3]17見直し計画'!$A$50:$AJ$584,36,0)</f>
        <v>0</v>
      </c>
    </row>
    <row r="514" spans="1:47" ht="105" hidden="1" customHeight="1">
      <c r="B514" s="575" t="s">
        <v>284</v>
      </c>
      <c r="C514" s="576" t="s">
        <v>135</v>
      </c>
      <c r="D514" s="226" t="s">
        <v>136</v>
      </c>
      <c r="E514">
        <f t="shared" si="41"/>
        <v>428</v>
      </c>
      <c r="F514" s="122">
        <v>39</v>
      </c>
      <c r="G514" s="123">
        <v>39</v>
      </c>
      <c r="H514" s="577">
        <v>2201126</v>
      </c>
      <c r="I514" s="424"/>
      <c r="J514" s="577"/>
      <c r="K514" s="577" t="s">
        <v>345</v>
      </c>
      <c r="L514" s="577" t="s">
        <v>2189</v>
      </c>
      <c r="M514" s="577" t="s">
        <v>2363</v>
      </c>
      <c r="N514" s="584" t="s">
        <v>138</v>
      </c>
      <c r="O514" s="585" t="s">
        <v>139</v>
      </c>
      <c r="P514" s="583" t="s">
        <v>122</v>
      </c>
      <c r="Q514" s="428" t="s">
        <v>2381</v>
      </c>
      <c r="R514" s="426" t="s">
        <v>2382</v>
      </c>
      <c r="S514" s="429" t="s">
        <v>1816</v>
      </c>
      <c r="T514" s="580">
        <v>40512</v>
      </c>
      <c r="U514" s="426" t="s">
        <v>2383</v>
      </c>
      <c r="V514" s="426" t="s">
        <v>2384</v>
      </c>
      <c r="W514" s="426" t="s">
        <v>2187</v>
      </c>
      <c r="X514" s="581">
        <v>1693440</v>
      </c>
      <c r="Y514" s="432">
        <v>1693440</v>
      </c>
      <c r="Z514" s="433">
        <f t="shared" si="39"/>
        <v>1</v>
      </c>
      <c r="AA514" s="434" t="s">
        <v>1445</v>
      </c>
      <c r="AB514" s="426"/>
      <c r="AC514" s="548" t="s">
        <v>1445</v>
      </c>
      <c r="AD514" s="582" t="s">
        <v>146</v>
      </c>
      <c r="AE514" s="582"/>
      <c r="AF514" s="582"/>
      <c r="AG514" s="321" t="s">
        <v>1636</v>
      </c>
      <c r="AH514" s="437" t="str">
        <f t="shared" si="40"/>
        <v>0</v>
      </c>
      <c r="AJ514" s="120"/>
      <c r="AK514" s="120" t="s">
        <v>147</v>
      </c>
      <c r="AL514" s="232" t="str">
        <f>VLOOKUP(AK514,'[3]17見直し計画'!$A$50:$AJ$584,6,0)</f>
        <v>　見直し計画策定以降の新規案件</v>
      </c>
      <c r="AM514" s="140">
        <f>VLOOKUP(AK514,'[3]17見直し計画'!$A$50:$AJ$584,8,0)</f>
        <v>0</v>
      </c>
      <c r="AN514" s="180"/>
      <c r="AO514" s="141">
        <f>VLOOKUP(AK514,'[3]17見直し計画'!$A$50:$AJ$584,11,0)</f>
        <v>0</v>
      </c>
      <c r="AP514" s="140">
        <f>VLOOKUP(AK514,'[3]17見直し計画'!$A$50:$AJ$584,12,0)</f>
        <v>0</v>
      </c>
      <c r="AQ514" s="140">
        <f>VLOOKUP(AK514,'[3]17見直し計画'!$A$50:$AJ$584,13,0)</f>
        <v>0</v>
      </c>
      <c r="AR514" s="140">
        <f>VLOOKUP(AK514,'[3]17見直し計画'!$A$50:$AJ$584,14,0)</f>
        <v>0</v>
      </c>
      <c r="AS514" s="140"/>
      <c r="AT514" s="140">
        <f>VLOOKUP(AK514,'[3]17見直し計画'!$A$50:$AJ$584,35,0)</f>
        <v>0</v>
      </c>
      <c r="AU514" s="140">
        <f>VLOOKUP(AK514,'[3]17見直し計画'!$A$50:$AJ$584,36,0)</f>
        <v>0</v>
      </c>
    </row>
    <row r="515" spans="1:47" ht="105" hidden="1" customHeight="1">
      <c r="A515" t="s">
        <v>148</v>
      </c>
      <c r="B515" s="590" t="s">
        <v>218</v>
      </c>
      <c r="C515" s="178" t="s">
        <v>135</v>
      </c>
      <c r="D515" s="143" t="s">
        <v>136</v>
      </c>
      <c r="E515">
        <f t="shared" si="41"/>
        <v>429</v>
      </c>
      <c r="F515" s="122">
        <v>40</v>
      </c>
      <c r="G515" s="123">
        <v>1</v>
      </c>
      <c r="H515" s="543">
        <v>2201318</v>
      </c>
      <c r="I515" s="424"/>
      <c r="J515" s="543" t="s">
        <v>2385</v>
      </c>
      <c r="K515" s="543" t="s">
        <v>501</v>
      </c>
      <c r="L515" s="543" t="s">
        <v>2051</v>
      </c>
      <c r="M515" s="543" t="s">
        <v>1461</v>
      </c>
      <c r="N515" s="578" t="s">
        <v>1997</v>
      </c>
      <c r="O515" s="579" t="s">
        <v>139</v>
      </c>
      <c r="P515" s="583" t="s">
        <v>122</v>
      </c>
      <c r="Q515" s="428" t="s">
        <v>2386</v>
      </c>
      <c r="R515" s="545" t="s">
        <v>2387</v>
      </c>
      <c r="S515" s="429" t="s">
        <v>1816</v>
      </c>
      <c r="T515" s="608">
        <v>40483</v>
      </c>
      <c r="U515" s="545" t="s">
        <v>1980</v>
      </c>
      <c r="V515" s="545" t="s">
        <v>1981</v>
      </c>
      <c r="W515" s="545" t="s">
        <v>2388</v>
      </c>
      <c r="X515" s="547">
        <v>2835000</v>
      </c>
      <c r="Y515" s="454">
        <v>1275750</v>
      </c>
      <c r="Z515" s="433">
        <v>1</v>
      </c>
      <c r="AA515" s="434" t="s">
        <v>129</v>
      </c>
      <c r="AB515" s="545" t="s">
        <v>2389</v>
      </c>
      <c r="AC515" s="609" t="s">
        <v>1445</v>
      </c>
      <c r="AD515" s="582" t="s">
        <v>2005</v>
      </c>
      <c r="AE515" s="582"/>
      <c r="AF515" s="582"/>
      <c r="AG515" s="321" t="s">
        <v>2390</v>
      </c>
      <c r="AH515" s="437" t="str">
        <f t="shared" si="40"/>
        <v>0</v>
      </c>
      <c r="AJ515" s="120"/>
      <c r="AK515" s="120" t="s">
        <v>147</v>
      </c>
      <c r="AL515" s="232" t="str">
        <f>VLOOKUP(AK515,'[3]17見直し計画'!$A$50:$AJ$584,6,0)</f>
        <v>　見直し計画策定以降の新規案件</v>
      </c>
      <c r="AM515" s="140">
        <f>VLOOKUP(AK515,'[3]17見直し計画'!$A$50:$AJ$584,8,0)</f>
        <v>0</v>
      </c>
      <c r="AN515" s="180"/>
      <c r="AO515" s="141">
        <f>VLOOKUP(AK515,'[3]17見直し計画'!$A$50:$AJ$584,11,0)</f>
        <v>0</v>
      </c>
      <c r="AP515" s="140">
        <f>VLOOKUP(AK515,'[3]17見直し計画'!$A$50:$AJ$584,12,0)</f>
        <v>0</v>
      </c>
      <c r="AQ515" s="140">
        <f>VLOOKUP(AK515,'[3]17見直し計画'!$A$50:$AJ$584,13,0)</f>
        <v>0</v>
      </c>
      <c r="AR515" s="140">
        <f>VLOOKUP(AK515,'[3]17見直し計画'!$A$50:$AJ$584,14,0)</f>
        <v>0</v>
      </c>
      <c r="AS515" s="140"/>
      <c r="AT515" s="140">
        <f>VLOOKUP(AK515,'[3]17見直し計画'!$A$50:$AJ$584,35,0)</f>
        <v>0</v>
      </c>
      <c r="AU515" s="140">
        <f>VLOOKUP(AK515,'[3]17見直し計画'!$A$50:$AJ$584,36,0)</f>
        <v>0</v>
      </c>
    </row>
    <row r="516" spans="1:47" ht="105.6" hidden="1" customHeight="1">
      <c r="B516" s="182"/>
      <c r="C516" s="182"/>
      <c r="D516" s="223" t="s">
        <v>421</v>
      </c>
      <c r="E516">
        <f t="shared" si="41"/>
        <v>430</v>
      </c>
      <c r="F516" s="185">
        <v>1</v>
      </c>
      <c r="G516" s="186">
        <v>1</v>
      </c>
      <c r="H516" s="610">
        <v>2201453</v>
      </c>
      <c r="I516" s="441"/>
      <c r="J516" s="610" t="s">
        <v>2391</v>
      </c>
      <c r="K516" s="610" t="s">
        <v>393</v>
      </c>
      <c r="L516" s="610" t="s">
        <v>1163</v>
      </c>
      <c r="M516" s="610" t="s">
        <v>1713</v>
      </c>
      <c r="N516" s="186" t="s">
        <v>230</v>
      </c>
      <c r="O516" s="550" t="s">
        <v>139</v>
      </c>
      <c r="P516" s="611" t="s">
        <v>2251</v>
      </c>
      <c r="Q516" s="444" t="s">
        <v>2392</v>
      </c>
      <c r="R516" s="442" t="s">
        <v>2393</v>
      </c>
      <c r="S516" s="445" t="s">
        <v>1816</v>
      </c>
      <c r="T516" s="612" t="s">
        <v>2394</v>
      </c>
      <c r="U516" s="442" t="s">
        <v>2395</v>
      </c>
      <c r="V516" s="442" t="s">
        <v>2396</v>
      </c>
      <c r="W516" s="442" t="s">
        <v>1643</v>
      </c>
      <c r="X516" s="613">
        <v>22890000</v>
      </c>
      <c r="Y516" s="613">
        <v>22470000</v>
      </c>
      <c r="Z516" s="448">
        <f>ROUNDDOWN(Y516/X516,3)</f>
        <v>0.98099999999999998</v>
      </c>
      <c r="AA516" s="527" t="s">
        <v>1445</v>
      </c>
      <c r="AB516" s="442"/>
      <c r="AC516" s="614">
        <v>8</v>
      </c>
      <c r="AD516" s="599"/>
      <c r="AE516" s="599"/>
      <c r="AF516" s="599"/>
      <c r="AG516" s="328" t="s">
        <v>1636</v>
      </c>
      <c r="AH516" s="201" t="str">
        <f>IF(AV516="-","0",IF(AV516="一者応札","1",IF(AV516=0,"0",IF(AV516=1,"1",IF(AV516=2,"2",IF(AV516=3,"3",IF(AV516&gt;3,"3","")))))))</f>
        <v>0</v>
      </c>
      <c r="AI516" s="184"/>
      <c r="AJ516" s="182"/>
      <c r="AK516" s="182" t="s">
        <v>147</v>
      </c>
      <c r="AL516" s="231" t="str">
        <f>VLOOKUP(AK516,'[3]17見直し計画'!$A$50:$AJ$584,6,0)</f>
        <v>　見直し計画策定以降の新規案件</v>
      </c>
      <c r="AM516" s="204">
        <f>VLOOKUP(AK516,'[3]17見直し計画'!$A$50:$AJ$584,8,0)</f>
        <v>0</v>
      </c>
      <c r="AN516" s="224"/>
      <c r="AO516" s="205">
        <f>VLOOKUP(AK516,'[3]17見直し計画'!$A$50:$AJ$584,11,0)</f>
        <v>0</v>
      </c>
      <c r="AP516" s="204">
        <f>VLOOKUP(AK516,'[3]17見直し計画'!$A$50:$AJ$584,12,0)</f>
        <v>0</v>
      </c>
      <c r="AQ516" s="204">
        <f>VLOOKUP(AK516,'[3]17見直し計画'!$A$50:$AJ$584,13,0)</f>
        <v>0</v>
      </c>
      <c r="AR516" s="204">
        <f>VLOOKUP(AK516,'[3]17見直し計画'!$A$50:$AJ$584,14,0)</f>
        <v>0</v>
      </c>
      <c r="AS516" s="204"/>
      <c r="AT516" s="204">
        <f>VLOOKUP(AK516,'[3]17見直し計画'!$A$50:$AJ$584,35,0)</f>
        <v>0</v>
      </c>
      <c r="AU516" s="204">
        <f>VLOOKUP(AK516,'[3]17見直し計画'!$A$50:$AJ$584,36,0)</f>
        <v>0</v>
      </c>
    </row>
    <row r="517" spans="1:47" ht="105.6" hidden="1" customHeight="1">
      <c r="B517" s="182"/>
      <c r="C517" s="182"/>
      <c r="D517" s="223" t="s">
        <v>421</v>
      </c>
      <c r="E517">
        <f t="shared" si="41"/>
        <v>431</v>
      </c>
      <c r="F517" s="185">
        <v>2</v>
      </c>
      <c r="G517" s="186">
        <v>2</v>
      </c>
      <c r="H517" s="610">
        <v>2200378</v>
      </c>
      <c r="I517" s="441"/>
      <c r="J517" s="610" t="s">
        <v>2397</v>
      </c>
      <c r="K517" s="610" t="s">
        <v>1269</v>
      </c>
      <c r="L517" s="610" t="s">
        <v>1190</v>
      </c>
      <c r="M517" s="610" t="s">
        <v>1191</v>
      </c>
      <c r="N517" s="186" t="s">
        <v>230</v>
      </c>
      <c r="O517" s="550" t="s">
        <v>139</v>
      </c>
      <c r="P517" s="611" t="s">
        <v>2251</v>
      </c>
      <c r="Q517" s="444" t="s">
        <v>2398</v>
      </c>
      <c r="R517" s="442" t="s">
        <v>2399</v>
      </c>
      <c r="S517" s="445" t="s">
        <v>1816</v>
      </c>
      <c r="T517" s="612" t="s">
        <v>2394</v>
      </c>
      <c r="U517" s="442" t="s">
        <v>2400</v>
      </c>
      <c r="V517" s="442" t="s">
        <v>2401</v>
      </c>
      <c r="W517" s="442" t="s">
        <v>2402</v>
      </c>
      <c r="X517" s="613">
        <v>6200000</v>
      </c>
      <c r="Y517" s="613">
        <v>4625503</v>
      </c>
      <c r="Z517" s="448">
        <f t="shared" ref="Z517:Z541" si="42">ROUNDDOWN(Y517/X517,3)</f>
        <v>0.746</v>
      </c>
      <c r="AA517" s="527" t="s">
        <v>1445</v>
      </c>
      <c r="AB517" s="442"/>
      <c r="AC517" s="614">
        <v>3</v>
      </c>
      <c r="AD517" s="599"/>
      <c r="AE517" s="599"/>
      <c r="AF517" s="599"/>
      <c r="AG517" s="328" t="s">
        <v>1636</v>
      </c>
      <c r="AH517" s="201" t="str">
        <f t="shared" ref="AH517:AH541" si="43">IF(AV517="-","0",IF(AV517="一者応札","1",IF(AV517=0,"0",IF(AV517=1,"1",IF(AV517=2,"2",IF(AV517=3,"3",IF(AV517&gt;3,"3","")))))))</f>
        <v>0</v>
      </c>
      <c r="AI517" s="184"/>
      <c r="AJ517" s="182"/>
      <c r="AK517" s="182" t="s">
        <v>147</v>
      </c>
      <c r="AL517" s="231" t="str">
        <f>VLOOKUP(AK517,'[3]17見直し計画'!$A$50:$AJ$584,6,0)</f>
        <v>　見直し計画策定以降の新規案件</v>
      </c>
      <c r="AM517" s="204">
        <f>VLOOKUP(AK517,'[3]17見直し計画'!$A$50:$AJ$584,8,0)</f>
        <v>0</v>
      </c>
      <c r="AN517" s="224"/>
      <c r="AO517" s="205">
        <f>VLOOKUP(AK517,'[3]17見直し計画'!$A$50:$AJ$584,11,0)</f>
        <v>0</v>
      </c>
      <c r="AP517" s="204">
        <f>VLOOKUP(AK517,'[3]17見直し計画'!$A$50:$AJ$584,12,0)</f>
        <v>0</v>
      </c>
      <c r="AQ517" s="204">
        <f>VLOOKUP(AK517,'[3]17見直し計画'!$A$50:$AJ$584,13,0)</f>
        <v>0</v>
      </c>
      <c r="AR517" s="204">
        <f>VLOOKUP(AK517,'[3]17見直し計画'!$A$50:$AJ$584,14,0)</f>
        <v>0</v>
      </c>
      <c r="AS517" s="204"/>
      <c r="AT517" s="204">
        <f>VLOOKUP(AK517,'[3]17見直し計画'!$A$50:$AJ$584,35,0)</f>
        <v>0</v>
      </c>
      <c r="AU517" s="204">
        <f>VLOOKUP(AK517,'[3]17見直し計画'!$A$50:$AJ$584,36,0)</f>
        <v>0</v>
      </c>
    </row>
    <row r="518" spans="1:47" ht="162.6" hidden="1" customHeight="1">
      <c r="B518" s="123" t="s">
        <v>134</v>
      </c>
      <c r="C518" s="120" t="s">
        <v>135</v>
      </c>
      <c r="D518" s="143" t="s">
        <v>136</v>
      </c>
      <c r="E518">
        <f t="shared" si="41"/>
        <v>432</v>
      </c>
      <c r="F518" s="122">
        <v>3</v>
      </c>
      <c r="G518" s="123">
        <v>3</v>
      </c>
      <c r="H518" s="543">
        <v>2201300</v>
      </c>
      <c r="I518" s="424"/>
      <c r="J518" s="543" t="s">
        <v>2403</v>
      </c>
      <c r="K518" s="543" t="s">
        <v>195</v>
      </c>
      <c r="L518" s="543" t="s">
        <v>1182</v>
      </c>
      <c r="M518" s="543" t="s">
        <v>1183</v>
      </c>
      <c r="N518" s="123" t="s">
        <v>138</v>
      </c>
      <c r="O518" s="544" t="s">
        <v>139</v>
      </c>
      <c r="P518" s="321" t="s">
        <v>122</v>
      </c>
      <c r="Q518" s="428" t="s">
        <v>2404</v>
      </c>
      <c r="R518" s="545" t="s">
        <v>2405</v>
      </c>
      <c r="S518" s="429" t="s">
        <v>1816</v>
      </c>
      <c r="T518" s="615" t="s">
        <v>2406</v>
      </c>
      <c r="U518" s="545" t="s">
        <v>468</v>
      </c>
      <c r="V518" s="545" t="s">
        <v>469</v>
      </c>
      <c r="W518" s="545" t="s">
        <v>1903</v>
      </c>
      <c r="X518" s="616">
        <v>6427548</v>
      </c>
      <c r="Y518" s="616">
        <v>6024348</v>
      </c>
      <c r="Z518" s="433">
        <f t="shared" si="42"/>
        <v>0.93700000000000006</v>
      </c>
      <c r="AA518" s="434" t="s">
        <v>1445</v>
      </c>
      <c r="AB518" s="426"/>
      <c r="AC518" s="617" t="s">
        <v>129</v>
      </c>
      <c r="AD518" s="582"/>
      <c r="AE518" s="582"/>
      <c r="AF518" s="582"/>
      <c r="AG518" s="321" t="s">
        <v>1636</v>
      </c>
      <c r="AH518" s="437" t="str">
        <f t="shared" si="43"/>
        <v>0</v>
      </c>
      <c r="AJ518" s="120"/>
      <c r="AK518" s="120" t="s">
        <v>147</v>
      </c>
      <c r="AL518" s="232" t="str">
        <f>VLOOKUP(AK518,'[3]17見直し計画'!$A$50:$AJ$584,6,0)</f>
        <v>　見直し計画策定以降の新規案件</v>
      </c>
      <c r="AM518" s="140">
        <f>VLOOKUP(AK518,'[3]17見直し計画'!$A$50:$AJ$584,8,0)</f>
        <v>0</v>
      </c>
      <c r="AN518" s="180"/>
      <c r="AO518" s="141">
        <f>VLOOKUP(AK518,'[3]17見直し計画'!$A$50:$AJ$584,11,0)</f>
        <v>0</v>
      </c>
      <c r="AP518" s="140">
        <f>VLOOKUP(AK518,'[3]17見直し計画'!$A$50:$AJ$584,12,0)</f>
        <v>0</v>
      </c>
      <c r="AQ518" s="140">
        <f>VLOOKUP(AK518,'[3]17見直し計画'!$A$50:$AJ$584,13,0)</f>
        <v>0</v>
      </c>
      <c r="AR518" s="140">
        <f>VLOOKUP(AK518,'[3]17見直し計画'!$A$50:$AJ$584,14,0)</f>
        <v>0</v>
      </c>
      <c r="AS518" s="140"/>
      <c r="AT518" s="140">
        <f>VLOOKUP(AK518,'[3]17見直し計画'!$A$50:$AJ$584,35,0)</f>
        <v>0</v>
      </c>
      <c r="AU518" s="140">
        <f>VLOOKUP(AK518,'[3]17見直し計画'!$A$50:$AJ$584,36,0)</f>
        <v>0</v>
      </c>
    </row>
    <row r="519" spans="1:47" ht="148.35" customHeight="1">
      <c r="B519" s="126" t="s">
        <v>1495</v>
      </c>
      <c r="C519" s="143" t="s">
        <v>550</v>
      </c>
      <c r="D519" s="143" t="s">
        <v>351</v>
      </c>
      <c r="E519">
        <f t="shared" si="41"/>
        <v>433</v>
      </c>
      <c r="F519" s="122">
        <v>4</v>
      </c>
      <c r="G519" s="123">
        <v>4</v>
      </c>
      <c r="H519" s="543">
        <v>2201353</v>
      </c>
      <c r="I519" s="424"/>
      <c r="J519" s="543" t="s">
        <v>2407</v>
      </c>
      <c r="K519" s="543" t="s">
        <v>706</v>
      </c>
      <c r="L519" s="543" t="s">
        <v>1190</v>
      </c>
      <c r="M519" s="543" t="s">
        <v>1191</v>
      </c>
      <c r="N519" s="123" t="s">
        <v>138</v>
      </c>
      <c r="O519" s="544" t="s">
        <v>139</v>
      </c>
      <c r="P519" s="321" t="s">
        <v>122</v>
      </c>
      <c r="Q519" s="428" t="s">
        <v>2408</v>
      </c>
      <c r="R519" s="545" t="s">
        <v>2409</v>
      </c>
      <c r="S519" s="429" t="s">
        <v>1816</v>
      </c>
      <c r="T519" s="615" t="s">
        <v>2406</v>
      </c>
      <c r="U519" s="545" t="s">
        <v>1074</v>
      </c>
      <c r="V519" s="545" t="s">
        <v>1701</v>
      </c>
      <c r="W519" s="545" t="s">
        <v>2410</v>
      </c>
      <c r="X519" s="616">
        <v>2606800</v>
      </c>
      <c r="Y519" s="616">
        <v>2382800</v>
      </c>
      <c r="Z519" s="433">
        <f t="shared" si="42"/>
        <v>0.91400000000000003</v>
      </c>
      <c r="AA519" s="434" t="s">
        <v>1445</v>
      </c>
      <c r="AB519" s="426"/>
      <c r="AC519" s="617" t="s">
        <v>129</v>
      </c>
      <c r="AD519" s="582"/>
      <c r="AE519" s="582"/>
      <c r="AF519" s="582"/>
      <c r="AG519" s="321" t="s">
        <v>1636</v>
      </c>
      <c r="AH519" s="437" t="str">
        <f t="shared" si="43"/>
        <v>0</v>
      </c>
      <c r="AJ519" s="120"/>
      <c r="AK519" s="120" t="s">
        <v>147</v>
      </c>
      <c r="AL519" s="232" t="str">
        <f>VLOOKUP(AK519,'[3]17見直し計画'!$A$50:$AJ$584,6,0)</f>
        <v>　見直し計画策定以降の新規案件</v>
      </c>
      <c r="AM519" s="140">
        <f>VLOOKUP(AK519,'[3]17見直し計画'!$A$50:$AJ$584,8,0)</f>
        <v>0</v>
      </c>
      <c r="AN519" s="180"/>
      <c r="AO519" s="141">
        <f>VLOOKUP(AK519,'[3]17見直し計画'!$A$50:$AJ$584,11,0)</f>
        <v>0</v>
      </c>
      <c r="AP519" s="140">
        <f>VLOOKUP(AK519,'[3]17見直し計画'!$A$50:$AJ$584,12,0)</f>
        <v>0</v>
      </c>
      <c r="AQ519" s="140">
        <f>VLOOKUP(AK519,'[3]17見直し計画'!$A$50:$AJ$584,13,0)</f>
        <v>0</v>
      </c>
      <c r="AR519" s="140">
        <f>VLOOKUP(AK519,'[3]17見直し計画'!$A$50:$AJ$584,14,0)</f>
        <v>0</v>
      </c>
      <c r="AS519" s="140"/>
      <c r="AT519" s="140">
        <f>VLOOKUP(AK519,'[3]17見直し計画'!$A$50:$AJ$584,35,0)</f>
        <v>0</v>
      </c>
      <c r="AU519" s="140">
        <f>VLOOKUP(AK519,'[3]17見直し計画'!$A$50:$AJ$584,36,0)</f>
        <v>0</v>
      </c>
    </row>
    <row r="520" spans="1:47" ht="105.6" hidden="1" customHeight="1">
      <c r="B520" s="182"/>
      <c r="C520" s="182"/>
      <c r="D520" s="223" t="s">
        <v>421</v>
      </c>
      <c r="E520">
        <f>SUM(E519+1)</f>
        <v>434</v>
      </c>
      <c r="F520" s="185">
        <v>5</v>
      </c>
      <c r="G520" s="186">
        <v>5</v>
      </c>
      <c r="H520" s="610">
        <v>2201332</v>
      </c>
      <c r="I520" s="441"/>
      <c r="J520" s="610" t="s">
        <v>2411</v>
      </c>
      <c r="K520" s="610" t="s">
        <v>2412</v>
      </c>
      <c r="L520" s="610" t="s">
        <v>1182</v>
      </c>
      <c r="M520" s="610" t="s">
        <v>1183</v>
      </c>
      <c r="N520" s="186" t="s">
        <v>230</v>
      </c>
      <c r="O520" s="550" t="s">
        <v>139</v>
      </c>
      <c r="P520" s="611" t="s">
        <v>2251</v>
      </c>
      <c r="Q520" s="444" t="s">
        <v>2413</v>
      </c>
      <c r="R520" s="442" t="s">
        <v>2414</v>
      </c>
      <c r="S520" s="445" t="s">
        <v>1816</v>
      </c>
      <c r="T520" s="612" t="s">
        <v>2415</v>
      </c>
      <c r="U520" s="442" t="s">
        <v>2416</v>
      </c>
      <c r="V520" s="442" t="s">
        <v>2417</v>
      </c>
      <c r="W520" s="442" t="s">
        <v>2418</v>
      </c>
      <c r="X520" s="613">
        <v>1697000</v>
      </c>
      <c r="Y520" s="613">
        <v>1680000</v>
      </c>
      <c r="Z520" s="448">
        <f t="shared" si="42"/>
        <v>0.98899999999999999</v>
      </c>
      <c r="AA520" s="527" t="s">
        <v>1445</v>
      </c>
      <c r="AB520" s="442"/>
      <c r="AC520" s="614">
        <v>4</v>
      </c>
      <c r="AD520" s="599"/>
      <c r="AE520" s="599"/>
      <c r="AF520" s="599"/>
      <c r="AG520" s="328" t="s">
        <v>1636</v>
      </c>
      <c r="AH520" s="201" t="str">
        <f t="shared" si="43"/>
        <v>0</v>
      </c>
      <c r="AI520" s="184"/>
      <c r="AJ520" s="182"/>
      <c r="AK520" s="182" t="s">
        <v>147</v>
      </c>
      <c r="AL520" s="231" t="str">
        <f>VLOOKUP(AK520,'[3]17見直し計画'!$A$50:$AJ$584,6,0)</f>
        <v>　見直し計画策定以降の新規案件</v>
      </c>
      <c r="AM520" s="204">
        <f>VLOOKUP(AK520,'[3]17見直し計画'!$A$50:$AJ$584,8,0)</f>
        <v>0</v>
      </c>
      <c r="AN520" s="224"/>
      <c r="AO520" s="205">
        <f>VLOOKUP(AK520,'[3]17見直し計画'!$A$50:$AJ$584,11,0)</f>
        <v>0</v>
      </c>
      <c r="AP520" s="204">
        <f>VLOOKUP(AK520,'[3]17見直し計画'!$A$50:$AJ$584,12,0)</f>
        <v>0</v>
      </c>
      <c r="AQ520" s="204">
        <f>VLOOKUP(AK520,'[3]17見直し計画'!$A$50:$AJ$584,13,0)</f>
        <v>0</v>
      </c>
      <c r="AR520" s="204">
        <f>VLOOKUP(AK520,'[3]17見直し計画'!$A$50:$AJ$584,14,0)</f>
        <v>0</v>
      </c>
      <c r="AS520" s="204"/>
      <c r="AT520" s="204">
        <f>VLOOKUP(AK520,'[3]17見直し計画'!$A$50:$AJ$584,35,0)</f>
        <v>0</v>
      </c>
      <c r="AU520" s="204">
        <f>VLOOKUP(AK520,'[3]17見直し計画'!$A$50:$AJ$584,36,0)</f>
        <v>0</v>
      </c>
    </row>
    <row r="521" spans="1:47" ht="160.35" hidden="1" customHeight="1">
      <c r="B521" s="126" t="s">
        <v>213</v>
      </c>
      <c r="C521" s="120" t="s">
        <v>135</v>
      </c>
      <c r="D521" s="143" t="s">
        <v>136</v>
      </c>
      <c r="E521">
        <f t="shared" si="41"/>
        <v>435</v>
      </c>
      <c r="F521" s="122">
        <v>6</v>
      </c>
      <c r="G521" s="123">
        <v>6</v>
      </c>
      <c r="H521" s="543">
        <v>2201347</v>
      </c>
      <c r="I521" s="424"/>
      <c r="J521" s="543" t="s">
        <v>2419</v>
      </c>
      <c r="K521" s="543" t="s">
        <v>445</v>
      </c>
      <c r="L521" s="543" t="s">
        <v>1182</v>
      </c>
      <c r="M521" s="543" t="s">
        <v>1183</v>
      </c>
      <c r="N521" s="127" t="s">
        <v>186</v>
      </c>
      <c r="O521" s="453" t="s">
        <v>187</v>
      </c>
      <c r="P521" s="321" t="s">
        <v>122</v>
      </c>
      <c r="Q521" s="428" t="s">
        <v>2420</v>
      </c>
      <c r="R521" s="545" t="s">
        <v>2421</v>
      </c>
      <c r="S521" s="429" t="s">
        <v>1816</v>
      </c>
      <c r="T521" s="615" t="s">
        <v>2422</v>
      </c>
      <c r="U521" s="545" t="s">
        <v>1684</v>
      </c>
      <c r="V521" s="545" t="s">
        <v>1685</v>
      </c>
      <c r="W521" s="545" t="s">
        <v>1695</v>
      </c>
      <c r="X521" s="616">
        <v>14541975</v>
      </c>
      <c r="Y521" s="616">
        <v>14541975</v>
      </c>
      <c r="Z521" s="433">
        <f t="shared" si="42"/>
        <v>1</v>
      </c>
      <c r="AA521" s="434" t="s">
        <v>1445</v>
      </c>
      <c r="AB521" s="426"/>
      <c r="AC521" s="617" t="s">
        <v>129</v>
      </c>
      <c r="AD521" s="582"/>
      <c r="AE521" s="582"/>
      <c r="AF521" s="582"/>
      <c r="AG521" s="321" t="s">
        <v>1636</v>
      </c>
      <c r="AH521" s="437" t="str">
        <f t="shared" si="43"/>
        <v>0</v>
      </c>
      <c r="AJ521" s="120"/>
      <c r="AK521" s="120" t="s">
        <v>399</v>
      </c>
      <c r="AL521" s="232" t="str">
        <f>VLOOKUP(AK521,'[3]17見直し計画'!$A$50:$AJ$584,6,0)</f>
        <v>日立インターメディックス株式会社</v>
      </c>
      <c r="AM521" s="140" t="str">
        <f>VLOOKUP(AK521,'[3]17見直し計画'!$A$50:$AJ$584,8,0)</f>
        <v>「海外安全ホームページ」運営・管理業務委託契約</v>
      </c>
      <c r="AN521" s="180">
        <f>VLOOKUP(AK521,'[3]17見直し計画'!$A$50:$AJ$584,10,0)</f>
        <v>38443</v>
      </c>
      <c r="AO521" s="141">
        <f>VLOOKUP(AK521,'[3]17見直し計画'!$A$50:$AJ$584,11,0)</f>
        <v>46392570</v>
      </c>
      <c r="AP521" s="140" t="str">
        <f>VLOOKUP(AK521,'[3]17見直し計画'!$A$50:$AJ$584,12,0)</f>
        <v>現在稼働中のシステムの運用・管理を同システムの開発業者である契約相手先に委託するものであり、業務効率・費用面から考えて他に競争を許さない（会計法第２９条の３第４項、特例政令に該当）。</v>
      </c>
      <c r="AQ521" s="140" t="str">
        <f>VLOOKUP(AK521,'[3]17見直し計画'!$A$50:$AJ$584,13,0)</f>
        <v>見直しの余地があるもの</v>
      </c>
      <c r="AR521" s="140" t="str">
        <f>VLOOKUP(AK521,'[3]17見直し計画'!$A$50:$AJ$584,14,0)</f>
        <v>平成２０年度中に予定されているホームページの統合以降は当該業務の委託は行わない</v>
      </c>
      <c r="AS521" s="140"/>
      <c r="AT521" s="140" t="str">
        <f>VLOOKUP(AK521,'[3]17見直し計画'!$A$50:$AJ$584,35,0)</f>
        <v>システム最適化計画により、外務省ホームページ及び海外安全ホームページをはじめとする省内の複数のサーバを平成２０年３月末までに統合し、全く新たなシステム構築を行うこととしていたが、海外安全ホームページについては、システムが複雑であり、また、十分な移行準備期間の確保が困難であったことから、新たに移行準備期間を設け、平成２２年度を目標として統合を図る予定である。このため、統合までの間に敢えて新たな業者に業務を委託することは合理性に乏しく、暫定的なホームページ維持に対して多大なシステム構築費を要することとなり、結果的に「システム最適化」に向けての取組に支障を来すことになる。</v>
      </c>
      <c r="AU521" s="140" t="str">
        <f>VLOOKUP(AK521,'[3]17見直し計画'!$A$50:$AJ$584,36,0)</f>
        <v>平成２２年度</v>
      </c>
    </row>
    <row r="522" spans="1:47" ht="148.35" hidden="1" customHeight="1">
      <c r="B522" s="123" t="s">
        <v>134</v>
      </c>
      <c r="C522" s="120" t="s">
        <v>135</v>
      </c>
      <c r="D522" s="143" t="s">
        <v>136</v>
      </c>
      <c r="E522">
        <f t="shared" si="41"/>
        <v>436</v>
      </c>
      <c r="F522" s="122">
        <v>7</v>
      </c>
      <c r="G522" s="123">
        <v>7</v>
      </c>
      <c r="H522" s="543">
        <v>2201333</v>
      </c>
      <c r="I522" s="424"/>
      <c r="J522" s="543" t="s">
        <v>2423</v>
      </c>
      <c r="K522" s="543" t="s">
        <v>195</v>
      </c>
      <c r="L522" s="543" t="s">
        <v>1182</v>
      </c>
      <c r="M522" s="543" t="s">
        <v>1183</v>
      </c>
      <c r="N522" s="123" t="s">
        <v>138</v>
      </c>
      <c r="O522" s="544" t="s">
        <v>139</v>
      </c>
      <c r="P522" s="321" t="s">
        <v>122</v>
      </c>
      <c r="Q522" s="428" t="s">
        <v>2424</v>
      </c>
      <c r="R522" s="545" t="s">
        <v>2425</v>
      </c>
      <c r="S522" s="429" t="s">
        <v>1816</v>
      </c>
      <c r="T522" s="615" t="s">
        <v>2422</v>
      </c>
      <c r="U522" s="545" t="s">
        <v>468</v>
      </c>
      <c r="V522" s="545" t="s">
        <v>469</v>
      </c>
      <c r="W522" s="545" t="s">
        <v>1695</v>
      </c>
      <c r="X522" s="616">
        <v>10977846</v>
      </c>
      <c r="Y522" s="616">
        <v>10977846</v>
      </c>
      <c r="Z522" s="433">
        <f t="shared" si="42"/>
        <v>1</v>
      </c>
      <c r="AA522" s="434" t="s">
        <v>1445</v>
      </c>
      <c r="AB522" s="426"/>
      <c r="AC522" s="617" t="s">
        <v>129</v>
      </c>
      <c r="AD522" s="582"/>
      <c r="AE522" s="582"/>
      <c r="AF522" s="582"/>
      <c r="AG522" s="321" t="s">
        <v>1636</v>
      </c>
      <c r="AH522" s="437" t="str">
        <f t="shared" si="43"/>
        <v>0</v>
      </c>
      <c r="AJ522" s="120"/>
      <c r="AK522" s="120" t="s">
        <v>147</v>
      </c>
      <c r="AL522" s="232" t="str">
        <f>VLOOKUP(AK522,'[3]17見直し計画'!$A$50:$AJ$584,6,0)</f>
        <v>　見直し計画策定以降の新規案件</v>
      </c>
      <c r="AM522" s="140">
        <f>VLOOKUP(AK522,'[3]17見直し計画'!$A$50:$AJ$584,8,0)</f>
        <v>0</v>
      </c>
      <c r="AN522" s="180"/>
      <c r="AO522" s="141">
        <f>VLOOKUP(AK522,'[3]17見直し計画'!$A$50:$AJ$584,11,0)</f>
        <v>0</v>
      </c>
      <c r="AP522" s="140">
        <f>VLOOKUP(AK522,'[3]17見直し計画'!$A$50:$AJ$584,12,0)</f>
        <v>0</v>
      </c>
      <c r="AQ522" s="140">
        <f>VLOOKUP(AK522,'[3]17見直し計画'!$A$50:$AJ$584,13,0)</f>
        <v>0</v>
      </c>
      <c r="AR522" s="140">
        <f>VLOOKUP(AK522,'[3]17見直し計画'!$A$50:$AJ$584,14,0)</f>
        <v>0</v>
      </c>
      <c r="AS522" s="140"/>
      <c r="AT522" s="140">
        <f>VLOOKUP(AK522,'[3]17見直し計画'!$A$50:$AJ$584,35,0)</f>
        <v>0</v>
      </c>
      <c r="AU522" s="140">
        <f>VLOOKUP(AK522,'[3]17見直し計画'!$A$50:$AJ$584,36,0)</f>
        <v>0</v>
      </c>
    </row>
    <row r="523" spans="1:47" ht="148.35" hidden="1" customHeight="1">
      <c r="B523" s="123" t="s">
        <v>134</v>
      </c>
      <c r="C523" s="120" t="s">
        <v>135</v>
      </c>
      <c r="D523" s="143" t="s">
        <v>136</v>
      </c>
      <c r="E523">
        <f t="shared" si="41"/>
        <v>437</v>
      </c>
      <c r="F523" s="122">
        <v>8</v>
      </c>
      <c r="G523" s="123">
        <v>8</v>
      </c>
      <c r="H523" s="543">
        <v>2201404</v>
      </c>
      <c r="I523" s="424"/>
      <c r="J523" s="543" t="s">
        <v>2426</v>
      </c>
      <c r="K523" s="543" t="s">
        <v>286</v>
      </c>
      <c r="L523" s="543" t="s">
        <v>1812</v>
      </c>
      <c r="M523" s="543" t="s">
        <v>1813</v>
      </c>
      <c r="N523" s="123" t="s">
        <v>138</v>
      </c>
      <c r="O523" s="544" t="s">
        <v>139</v>
      </c>
      <c r="P523" s="321" t="s">
        <v>122</v>
      </c>
      <c r="Q523" s="428" t="s">
        <v>2427</v>
      </c>
      <c r="R523" s="545" t="s">
        <v>2428</v>
      </c>
      <c r="S523" s="429" t="s">
        <v>1816</v>
      </c>
      <c r="T523" s="615" t="s">
        <v>2422</v>
      </c>
      <c r="U523" s="545" t="s">
        <v>379</v>
      </c>
      <c r="V523" s="545" t="s">
        <v>380</v>
      </c>
      <c r="W523" s="545" t="s">
        <v>1695</v>
      </c>
      <c r="X523" s="616">
        <v>7875000</v>
      </c>
      <c r="Y523" s="616">
        <v>7875000</v>
      </c>
      <c r="Z523" s="433">
        <f t="shared" si="42"/>
        <v>1</v>
      </c>
      <c r="AA523" s="434" t="s">
        <v>1445</v>
      </c>
      <c r="AB523" s="426"/>
      <c r="AC523" s="617" t="s">
        <v>129</v>
      </c>
      <c r="AD523" s="582"/>
      <c r="AE523" s="582"/>
      <c r="AF523" s="582"/>
      <c r="AG523" s="321" t="s">
        <v>1636</v>
      </c>
      <c r="AH523" s="437" t="str">
        <f t="shared" si="43"/>
        <v>0</v>
      </c>
      <c r="AJ523" s="120"/>
      <c r="AK523" s="120" t="s">
        <v>147</v>
      </c>
      <c r="AL523" s="232" t="str">
        <f>VLOOKUP(AK523,'[3]17見直し計画'!$A$50:$AJ$584,6,0)</f>
        <v>　見直し計画策定以降の新規案件</v>
      </c>
      <c r="AM523" s="140">
        <f>VLOOKUP(AK523,'[3]17見直し計画'!$A$50:$AJ$584,8,0)</f>
        <v>0</v>
      </c>
      <c r="AN523" s="180"/>
      <c r="AO523" s="141">
        <f>VLOOKUP(AK523,'[3]17見直し計画'!$A$50:$AJ$584,11,0)</f>
        <v>0</v>
      </c>
      <c r="AP523" s="140">
        <f>VLOOKUP(AK523,'[3]17見直し計画'!$A$50:$AJ$584,12,0)</f>
        <v>0</v>
      </c>
      <c r="AQ523" s="140">
        <f>VLOOKUP(AK523,'[3]17見直し計画'!$A$50:$AJ$584,13,0)</f>
        <v>0</v>
      </c>
      <c r="AR523" s="140">
        <f>VLOOKUP(AK523,'[3]17見直し計画'!$A$50:$AJ$584,14,0)</f>
        <v>0</v>
      </c>
      <c r="AS523" s="140"/>
      <c r="AT523" s="140">
        <f>VLOOKUP(AK523,'[3]17見直し計画'!$A$50:$AJ$584,35,0)</f>
        <v>0</v>
      </c>
      <c r="AU523" s="140">
        <f>VLOOKUP(AK523,'[3]17見直し計画'!$A$50:$AJ$584,36,0)</f>
        <v>0</v>
      </c>
    </row>
    <row r="524" spans="1:47" ht="134.1" hidden="1" customHeight="1">
      <c r="A524" t="s">
        <v>2279</v>
      </c>
      <c r="B524" s="120"/>
      <c r="C524" s="120"/>
      <c r="D524" s="120" t="s">
        <v>305</v>
      </c>
      <c r="E524">
        <f t="shared" si="41"/>
        <v>438</v>
      </c>
      <c r="F524" s="122">
        <v>9</v>
      </c>
      <c r="G524" s="123">
        <v>9</v>
      </c>
      <c r="H524" s="543">
        <v>2201378</v>
      </c>
      <c r="I524" s="424"/>
      <c r="J524" s="543" t="s">
        <v>2429</v>
      </c>
      <c r="K524" s="543" t="s">
        <v>859</v>
      </c>
      <c r="L524" s="543" t="s">
        <v>1190</v>
      </c>
      <c r="M524" s="543" t="s">
        <v>2078</v>
      </c>
      <c r="N524" s="123" t="s">
        <v>138</v>
      </c>
      <c r="O524" s="544" t="s">
        <v>139</v>
      </c>
      <c r="P524" s="413" t="s">
        <v>122</v>
      </c>
      <c r="Q524" s="428" t="s">
        <v>2430</v>
      </c>
      <c r="R524" s="545" t="s">
        <v>2431</v>
      </c>
      <c r="S524" s="429" t="s">
        <v>1816</v>
      </c>
      <c r="T524" s="615" t="s">
        <v>2422</v>
      </c>
      <c r="U524" s="545" t="s">
        <v>2432</v>
      </c>
      <c r="V524" s="545" t="s">
        <v>2433</v>
      </c>
      <c r="W524" s="618" t="s">
        <v>2434</v>
      </c>
      <c r="X524" s="616">
        <v>1546650</v>
      </c>
      <c r="Y524" s="616">
        <v>1453200</v>
      </c>
      <c r="Z524" s="433">
        <f t="shared" si="42"/>
        <v>0.93899999999999995</v>
      </c>
      <c r="AA524" s="434" t="s">
        <v>1445</v>
      </c>
      <c r="AB524" s="426"/>
      <c r="AC524" s="617" t="s">
        <v>129</v>
      </c>
      <c r="AD524" s="582"/>
      <c r="AE524" s="582"/>
      <c r="AF524" s="582"/>
      <c r="AG524" s="321" t="s">
        <v>1636</v>
      </c>
      <c r="AH524" s="437" t="str">
        <f t="shared" si="43"/>
        <v>0</v>
      </c>
      <c r="AJ524" s="120"/>
      <c r="AK524" s="120" t="s">
        <v>147</v>
      </c>
      <c r="AL524" s="232" t="str">
        <f>VLOOKUP(AK524,'[3]17見直し計画'!$A$50:$AJ$584,6,0)</f>
        <v>　見直し計画策定以降の新規案件</v>
      </c>
      <c r="AM524" s="140">
        <f>VLOOKUP(AK524,'[3]17見直し計画'!$A$50:$AJ$584,8,0)</f>
        <v>0</v>
      </c>
      <c r="AN524" s="180"/>
      <c r="AO524" s="141">
        <f>VLOOKUP(AK524,'[3]17見直し計画'!$A$50:$AJ$584,11,0)</f>
        <v>0</v>
      </c>
      <c r="AP524" s="140">
        <f>VLOOKUP(AK524,'[3]17見直し計画'!$A$50:$AJ$584,12,0)</f>
        <v>0</v>
      </c>
      <c r="AQ524" s="140">
        <f>VLOOKUP(AK524,'[3]17見直し計画'!$A$50:$AJ$584,13,0)</f>
        <v>0</v>
      </c>
      <c r="AR524" s="140">
        <f>VLOOKUP(AK524,'[3]17見直し計画'!$A$50:$AJ$584,14,0)</f>
        <v>0</v>
      </c>
      <c r="AS524" s="140"/>
      <c r="AT524" s="140">
        <f>VLOOKUP(AK524,'[3]17見直し計画'!$A$50:$AJ$584,35,0)</f>
        <v>0</v>
      </c>
      <c r="AU524" s="140">
        <f>VLOOKUP(AK524,'[3]17見直し計画'!$A$50:$AJ$584,36,0)</f>
        <v>0</v>
      </c>
    </row>
    <row r="525" spans="1:47" ht="191.1" hidden="1" customHeight="1">
      <c r="B525" s="123" t="s">
        <v>284</v>
      </c>
      <c r="C525" s="120" t="s">
        <v>135</v>
      </c>
      <c r="D525" s="143" t="s">
        <v>136</v>
      </c>
      <c r="E525">
        <f t="shared" si="41"/>
        <v>439</v>
      </c>
      <c r="F525" s="122">
        <v>10</v>
      </c>
      <c r="G525" s="123">
        <v>10</v>
      </c>
      <c r="H525" s="543">
        <v>2201452</v>
      </c>
      <c r="I525" s="459"/>
      <c r="J525" s="543"/>
      <c r="K525" s="543" t="s">
        <v>345</v>
      </c>
      <c r="L525" s="543" t="s">
        <v>1163</v>
      </c>
      <c r="M525" s="543" t="s">
        <v>1456</v>
      </c>
      <c r="N525" s="123" t="s">
        <v>138</v>
      </c>
      <c r="O525" s="544" t="s">
        <v>139</v>
      </c>
      <c r="P525" s="321" t="s">
        <v>122</v>
      </c>
      <c r="Q525" s="428" t="s">
        <v>2435</v>
      </c>
      <c r="R525" s="545" t="s">
        <v>2436</v>
      </c>
      <c r="S525" s="429" t="s">
        <v>1816</v>
      </c>
      <c r="T525" s="615" t="s">
        <v>2422</v>
      </c>
      <c r="U525" s="545" t="s">
        <v>2437</v>
      </c>
      <c r="V525" s="545" t="s">
        <v>2438</v>
      </c>
      <c r="W525" s="619" t="s">
        <v>2439</v>
      </c>
      <c r="X525" s="616">
        <v>1089900</v>
      </c>
      <c r="Y525" s="616">
        <v>1089900</v>
      </c>
      <c r="Z525" s="433">
        <f t="shared" si="42"/>
        <v>1</v>
      </c>
      <c r="AA525" s="434" t="s">
        <v>1445</v>
      </c>
      <c r="AB525" s="426"/>
      <c r="AC525" s="617" t="s">
        <v>129</v>
      </c>
      <c r="AD525" s="582"/>
      <c r="AE525" s="582"/>
      <c r="AF525" s="582"/>
      <c r="AG525" s="321" t="s">
        <v>1636</v>
      </c>
      <c r="AH525" s="437" t="str">
        <f t="shared" si="43"/>
        <v>0</v>
      </c>
      <c r="AJ525" s="120"/>
      <c r="AK525" s="120" t="s">
        <v>147</v>
      </c>
      <c r="AL525" s="232" t="str">
        <f>VLOOKUP(AK525,'[3]17見直し計画'!$A$50:$AJ$584,6,0)</f>
        <v>　見直し計画策定以降の新規案件</v>
      </c>
      <c r="AM525" s="140">
        <f>VLOOKUP(AK525,'[3]17見直し計画'!$A$50:$AJ$584,8,0)</f>
        <v>0</v>
      </c>
      <c r="AN525" s="180"/>
      <c r="AO525" s="141">
        <f>VLOOKUP(AK525,'[3]17見直し計画'!$A$50:$AJ$584,11,0)</f>
        <v>0</v>
      </c>
      <c r="AP525" s="140">
        <f>VLOOKUP(AK525,'[3]17見直し計画'!$A$50:$AJ$584,12,0)</f>
        <v>0</v>
      </c>
      <c r="AQ525" s="140">
        <f>VLOOKUP(AK525,'[3]17見直し計画'!$A$50:$AJ$584,13,0)</f>
        <v>0</v>
      </c>
      <c r="AR525" s="140">
        <f>VLOOKUP(AK525,'[3]17見直し計画'!$A$50:$AJ$584,14,0)</f>
        <v>0</v>
      </c>
      <c r="AS525" s="140"/>
      <c r="AT525" s="140">
        <f>VLOOKUP(AK525,'[3]17見直し計画'!$A$50:$AJ$584,35,0)</f>
        <v>0</v>
      </c>
      <c r="AU525" s="140">
        <f>VLOOKUP(AK525,'[3]17見直し計画'!$A$50:$AJ$584,36,0)</f>
        <v>0</v>
      </c>
    </row>
    <row r="526" spans="1:47" ht="119.85" hidden="1" customHeight="1">
      <c r="B526" s="152"/>
      <c r="C526" s="152"/>
      <c r="D526" s="153" t="s">
        <v>421</v>
      </c>
      <c r="E526">
        <f t="shared" si="41"/>
        <v>440</v>
      </c>
      <c r="F526" s="155">
        <v>11</v>
      </c>
      <c r="G526" s="156">
        <v>11</v>
      </c>
      <c r="H526" s="537">
        <v>2201346</v>
      </c>
      <c r="I526" s="488"/>
      <c r="J526" s="537" t="s">
        <v>2440</v>
      </c>
      <c r="K526" s="537" t="s">
        <v>119</v>
      </c>
      <c r="L526" s="537" t="s">
        <v>1182</v>
      </c>
      <c r="M526" s="537" t="s">
        <v>1183</v>
      </c>
      <c r="N526" s="156" t="s">
        <v>266</v>
      </c>
      <c r="O526" s="556" t="s">
        <v>139</v>
      </c>
      <c r="P526" s="620" t="s">
        <v>2251</v>
      </c>
      <c r="Q526" s="491" t="s">
        <v>2441</v>
      </c>
      <c r="R526" s="489" t="s">
        <v>2442</v>
      </c>
      <c r="S526" s="492" t="s">
        <v>1816</v>
      </c>
      <c r="T526" s="621" t="s">
        <v>2443</v>
      </c>
      <c r="U526" s="489" t="s">
        <v>303</v>
      </c>
      <c r="V526" s="489" t="s">
        <v>304</v>
      </c>
      <c r="W526" s="489" t="s">
        <v>1885</v>
      </c>
      <c r="X526" s="622">
        <v>3722775</v>
      </c>
      <c r="Y526" s="622">
        <v>3722775</v>
      </c>
      <c r="Z526" s="496">
        <f t="shared" si="42"/>
        <v>1</v>
      </c>
      <c r="AA526" s="497" t="s">
        <v>1445</v>
      </c>
      <c r="AB526" s="489"/>
      <c r="AC526" s="623">
        <v>1</v>
      </c>
      <c r="AD526" s="624"/>
      <c r="AE526" s="624"/>
      <c r="AF526" s="624"/>
      <c r="AG526" s="337" t="s">
        <v>1636</v>
      </c>
      <c r="AH526" s="171" t="str">
        <f t="shared" si="43"/>
        <v>0</v>
      </c>
      <c r="AI526" s="154"/>
      <c r="AJ526" s="152"/>
      <c r="AK526" s="152" t="s">
        <v>2444</v>
      </c>
      <c r="AL526" s="233" t="str">
        <f>VLOOKUP(AK526,'[3]17見直し計画'!$A$50:$AJ$584,6,0)</f>
        <v>新日鉄ソリューションズ株式会社</v>
      </c>
      <c r="AM526" s="174" t="str">
        <f>VLOOKUP(AK526,'[3]17見直し計画'!$A$50:$AJ$584,8,0)</f>
        <v>「管理者評価制度集計システム機能改善」業務委嘱</v>
      </c>
      <c r="AN526" s="225">
        <f>VLOOKUP(AK526,'[3]17見直し計画'!$A$50:$AJ$584,10,0)</f>
        <v>38743</v>
      </c>
      <c r="AO526" s="175">
        <f>VLOOKUP(AK526,'[3]17見直し計画'!$A$50:$AJ$584,11,0)</f>
        <v>4400550</v>
      </c>
      <c r="AP526" s="174" t="str">
        <f>VLOOKUP(AK526,'[3]17見直し計画'!$A$50:$AJ$584,12,0)</f>
        <v>本システムの開発を行った会社が同システムの保守を行うものであり、競争を許さない（会計法第２９条の３第４項）</v>
      </c>
      <c r="AQ526" s="174" t="str">
        <f>VLOOKUP(AK526,'[3]17見直し計画'!$A$50:$AJ$584,13,0)</f>
        <v>見直しの余地があるもの</v>
      </c>
      <c r="AR526" s="174" t="str">
        <f>VLOOKUP(AK526,'[3]17見直し計画'!$A$50:$AJ$584,14,0)</f>
        <v>１８年度において当該事務・事業の委託等を行う予定のないもの</v>
      </c>
      <c r="AS526" s="174"/>
      <c r="AT526" s="174">
        <f>VLOOKUP(AK526,'[3]17見直し計画'!$A$50:$AJ$584,35,0)</f>
        <v>0</v>
      </c>
      <c r="AU526" s="174">
        <f>VLOOKUP(AK526,'[3]17見直し計画'!$A$50:$AJ$584,36,0)</f>
        <v>0</v>
      </c>
    </row>
    <row r="527" spans="1:47" ht="148.35" hidden="1" customHeight="1">
      <c r="B527" s="123" t="s">
        <v>134</v>
      </c>
      <c r="C527" s="120" t="s">
        <v>135</v>
      </c>
      <c r="D527" s="143" t="s">
        <v>136</v>
      </c>
      <c r="E527">
        <f t="shared" si="41"/>
        <v>441</v>
      </c>
      <c r="F527" s="122">
        <v>12</v>
      </c>
      <c r="G527" s="123">
        <v>12</v>
      </c>
      <c r="H527" s="543">
        <v>2201352</v>
      </c>
      <c r="I527" s="474"/>
      <c r="J527" s="543" t="s">
        <v>2445</v>
      </c>
      <c r="K527" s="543" t="s">
        <v>286</v>
      </c>
      <c r="L527" s="543" t="s">
        <v>1182</v>
      </c>
      <c r="M527" s="543" t="s">
        <v>1183</v>
      </c>
      <c r="N527" s="123" t="s">
        <v>138</v>
      </c>
      <c r="O527" s="544" t="s">
        <v>139</v>
      </c>
      <c r="P527" s="321" t="s">
        <v>122</v>
      </c>
      <c r="Q527" s="428" t="s">
        <v>2446</v>
      </c>
      <c r="R527" s="545" t="s">
        <v>2447</v>
      </c>
      <c r="S527" s="429" t="s">
        <v>1816</v>
      </c>
      <c r="T527" s="615" t="s">
        <v>2448</v>
      </c>
      <c r="U527" s="545" t="s">
        <v>1669</v>
      </c>
      <c r="V527" s="545" t="s">
        <v>449</v>
      </c>
      <c r="W527" s="545" t="s">
        <v>1695</v>
      </c>
      <c r="X527" s="616">
        <v>1553532</v>
      </c>
      <c r="Y527" s="616">
        <v>1553532</v>
      </c>
      <c r="Z527" s="433">
        <f t="shared" si="42"/>
        <v>1</v>
      </c>
      <c r="AA527" s="434" t="s">
        <v>1445</v>
      </c>
      <c r="AB527" s="426"/>
      <c r="AC527" s="617" t="s">
        <v>129</v>
      </c>
      <c r="AD527" s="592"/>
      <c r="AE527" s="592"/>
      <c r="AF527" s="592"/>
      <c r="AG527" s="321" t="s">
        <v>1636</v>
      </c>
      <c r="AH527" s="437" t="str">
        <f t="shared" si="43"/>
        <v>0</v>
      </c>
      <c r="AJ527" s="120" t="s">
        <v>1322</v>
      </c>
      <c r="AK527" s="120" t="s">
        <v>147</v>
      </c>
      <c r="AL527" s="232" t="str">
        <f>VLOOKUP(AK527,'[3]17見直し計画'!$A$50:$AJ$584,6,0)</f>
        <v>　見直し計画策定以降の新規案件</v>
      </c>
      <c r="AM527" s="140">
        <f>VLOOKUP(AK527,'[3]17見直し計画'!$A$50:$AJ$584,8,0)</f>
        <v>0</v>
      </c>
      <c r="AN527" s="180"/>
      <c r="AO527" s="141">
        <f>VLOOKUP(AK527,'[3]17見直し計画'!$A$50:$AJ$584,11,0)</f>
        <v>0</v>
      </c>
      <c r="AP527" s="140">
        <f>VLOOKUP(AK527,'[3]17見直し計画'!$A$50:$AJ$584,12,0)</f>
        <v>0</v>
      </c>
      <c r="AQ527" s="140">
        <f>VLOOKUP(AK527,'[3]17見直し計画'!$A$50:$AJ$584,13,0)</f>
        <v>0</v>
      </c>
      <c r="AR527" s="140">
        <f>VLOOKUP(AK527,'[3]17見直し計画'!$A$50:$AJ$584,14,0)</f>
        <v>0</v>
      </c>
      <c r="AS527" s="140"/>
      <c r="AT527" s="140">
        <f>VLOOKUP(AK527,'[3]17見直し計画'!$A$50:$AJ$584,35,0)</f>
        <v>0</v>
      </c>
      <c r="AU527" s="140">
        <f>VLOOKUP(AK527,'[3]17見直し計画'!$A$50:$AJ$584,36,0)</f>
        <v>0</v>
      </c>
    </row>
    <row r="528" spans="1:47" ht="148.35" hidden="1" customHeight="1">
      <c r="B528" s="123" t="s">
        <v>134</v>
      </c>
      <c r="C528" s="120" t="s">
        <v>135</v>
      </c>
      <c r="D528" s="143" t="s">
        <v>136</v>
      </c>
      <c r="E528">
        <f t="shared" si="41"/>
        <v>442</v>
      </c>
      <c r="F528" s="122">
        <v>13</v>
      </c>
      <c r="G528" s="123">
        <v>13</v>
      </c>
      <c r="H528" s="543">
        <v>2201361</v>
      </c>
      <c r="I528" s="424"/>
      <c r="J528" s="543" t="s">
        <v>2449</v>
      </c>
      <c r="K528" s="543" t="s">
        <v>195</v>
      </c>
      <c r="L528" s="543" t="s">
        <v>1182</v>
      </c>
      <c r="M528" s="543" t="s">
        <v>1183</v>
      </c>
      <c r="N528" s="123" t="s">
        <v>138</v>
      </c>
      <c r="O528" s="544" t="s">
        <v>139</v>
      </c>
      <c r="P528" s="321" t="s">
        <v>122</v>
      </c>
      <c r="Q528" s="428" t="s">
        <v>2450</v>
      </c>
      <c r="R528" s="545" t="s">
        <v>2451</v>
      </c>
      <c r="S528" s="429" t="s">
        <v>1816</v>
      </c>
      <c r="T528" s="615" t="s">
        <v>2452</v>
      </c>
      <c r="U528" s="545" t="s">
        <v>303</v>
      </c>
      <c r="V528" s="545" t="s">
        <v>304</v>
      </c>
      <c r="W528" s="545" t="s">
        <v>1695</v>
      </c>
      <c r="X528" s="616">
        <v>3998452</v>
      </c>
      <c r="Y528" s="616">
        <v>3998452</v>
      </c>
      <c r="Z528" s="433">
        <f t="shared" si="42"/>
        <v>1</v>
      </c>
      <c r="AA528" s="434" t="s">
        <v>1445</v>
      </c>
      <c r="AB528" s="426"/>
      <c r="AC528" s="617" t="s">
        <v>129</v>
      </c>
      <c r="AD528" s="582"/>
      <c r="AE528" s="582"/>
      <c r="AF528" s="582"/>
      <c r="AG528" s="321" t="s">
        <v>1636</v>
      </c>
      <c r="AH528" s="437" t="str">
        <f t="shared" si="43"/>
        <v>0</v>
      </c>
      <c r="AJ528" s="120"/>
      <c r="AK528" s="120" t="s">
        <v>147</v>
      </c>
      <c r="AL528" s="232" t="str">
        <f>VLOOKUP(AK528,'[3]17見直し計画'!$A$50:$AJ$584,6,0)</f>
        <v>　見直し計画策定以降の新規案件</v>
      </c>
      <c r="AM528" s="140">
        <f>VLOOKUP(AK528,'[3]17見直し計画'!$A$50:$AJ$584,8,0)</f>
        <v>0</v>
      </c>
      <c r="AN528" s="180"/>
      <c r="AO528" s="141">
        <f>VLOOKUP(AK528,'[3]17見直し計画'!$A$50:$AJ$584,11,0)</f>
        <v>0</v>
      </c>
      <c r="AP528" s="140">
        <f>VLOOKUP(AK528,'[3]17見直し計画'!$A$50:$AJ$584,12,0)</f>
        <v>0</v>
      </c>
      <c r="AQ528" s="140">
        <f>VLOOKUP(AK528,'[3]17見直し計画'!$A$50:$AJ$584,13,0)</f>
        <v>0</v>
      </c>
      <c r="AR528" s="140">
        <f>VLOOKUP(AK528,'[3]17見直し計画'!$A$50:$AJ$584,14,0)</f>
        <v>0</v>
      </c>
      <c r="AS528" s="140"/>
      <c r="AT528" s="140">
        <f>VLOOKUP(AK528,'[3]17見直し計画'!$A$50:$AJ$584,35,0)</f>
        <v>0</v>
      </c>
      <c r="AU528" s="140">
        <f>VLOOKUP(AK528,'[3]17見直し計画'!$A$50:$AJ$584,36,0)</f>
        <v>0</v>
      </c>
    </row>
    <row r="529" spans="1:47" ht="148.35" hidden="1" customHeight="1">
      <c r="B529" s="123" t="s">
        <v>134</v>
      </c>
      <c r="C529" s="120" t="s">
        <v>135</v>
      </c>
      <c r="D529" s="143" t="s">
        <v>136</v>
      </c>
      <c r="E529">
        <f t="shared" si="41"/>
        <v>443</v>
      </c>
      <c r="F529" s="122">
        <v>14</v>
      </c>
      <c r="G529" s="123">
        <v>14</v>
      </c>
      <c r="H529" s="543">
        <v>2201360</v>
      </c>
      <c r="I529" s="424"/>
      <c r="J529" s="543" t="s">
        <v>2453</v>
      </c>
      <c r="K529" s="543" t="s">
        <v>195</v>
      </c>
      <c r="L529" s="543" t="s">
        <v>1182</v>
      </c>
      <c r="M529" s="543" t="s">
        <v>1183</v>
      </c>
      <c r="N529" s="123" t="s">
        <v>138</v>
      </c>
      <c r="O529" s="544" t="s">
        <v>139</v>
      </c>
      <c r="P529" s="321" t="s">
        <v>122</v>
      </c>
      <c r="Q529" s="428" t="s">
        <v>2454</v>
      </c>
      <c r="R529" s="545" t="s">
        <v>2455</v>
      </c>
      <c r="S529" s="429" t="s">
        <v>1816</v>
      </c>
      <c r="T529" s="615" t="s">
        <v>2452</v>
      </c>
      <c r="U529" s="545" t="s">
        <v>468</v>
      </c>
      <c r="V529" s="545" t="s">
        <v>469</v>
      </c>
      <c r="W529" s="545" t="s">
        <v>1695</v>
      </c>
      <c r="X529" s="616">
        <v>3400004</v>
      </c>
      <c r="Y529" s="616">
        <v>3400004</v>
      </c>
      <c r="Z529" s="433">
        <f t="shared" si="42"/>
        <v>1</v>
      </c>
      <c r="AA529" s="434" t="s">
        <v>1445</v>
      </c>
      <c r="AB529" s="426"/>
      <c r="AC529" s="617" t="s">
        <v>129</v>
      </c>
      <c r="AD529" s="582"/>
      <c r="AE529" s="582"/>
      <c r="AF529" s="582"/>
      <c r="AG529" s="321" t="s">
        <v>1636</v>
      </c>
      <c r="AH529" s="437" t="str">
        <f t="shared" si="43"/>
        <v>0</v>
      </c>
      <c r="AJ529" s="120"/>
      <c r="AK529" s="120" t="s">
        <v>147</v>
      </c>
      <c r="AL529" s="232" t="str">
        <f>VLOOKUP(AK529,'[3]17見直し計画'!$A$50:$AJ$584,6,0)</f>
        <v>　見直し計画策定以降の新規案件</v>
      </c>
      <c r="AM529" s="140">
        <f>VLOOKUP(AK529,'[3]17見直し計画'!$A$50:$AJ$584,8,0)</f>
        <v>0</v>
      </c>
      <c r="AN529" s="180"/>
      <c r="AO529" s="141">
        <f>VLOOKUP(AK529,'[3]17見直し計画'!$A$50:$AJ$584,11,0)</f>
        <v>0</v>
      </c>
      <c r="AP529" s="140">
        <f>VLOOKUP(AK529,'[3]17見直し計画'!$A$50:$AJ$584,12,0)</f>
        <v>0</v>
      </c>
      <c r="AQ529" s="140">
        <f>VLOOKUP(AK529,'[3]17見直し計画'!$A$50:$AJ$584,13,0)</f>
        <v>0</v>
      </c>
      <c r="AR529" s="140">
        <f>VLOOKUP(AK529,'[3]17見直し計画'!$A$50:$AJ$584,14,0)</f>
        <v>0</v>
      </c>
      <c r="AS529" s="140"/>
      <c r="AT529" s="140">
        <f>VLOOKUP(AK529,'[3]17見直し計画'!$A$50:$AJ$584,35,0)</f>
        <v>0</v>
      </c>
      <c r="AU529" s="140">
        <f>VLOOKUP(AK529,'[3]17見直し計画'!$A$50:$AJ$584,36,0)</f>
        <v>0</v>
      </c>
    </row>
    <row r="530" spans="1:47" ht="134.1" hidden="1" customHeight="1">
      <c r="A530" t="s">
        <v>2279</v>
      </c>
      <c r="B530" s="120"/>
      <c r="C530" s="120"/>
      <c r="D530" s="120" t="s">
        <v>305</v>
      </c>
      <c r="E530">
        <f t="shared" si="41"/>
        <v>444</v>
      </c>
      <c r="F530" s="122">
        <v>15</v>
      </c>
      <c r="G530" s="123">
        <v>15</v>
      </c>
      <c r="H530" s="543">
        <v>2201397</v>
      </c>
      <c r="I530" s="424"/>
      <c r="J530" s="543" t="s">
        <v>2456</v>
      </c>
      <c r="K530" s="543" t="s">
        <v>1510</v>
      </c>
      <c r="L530" s="543" t="s">
        <v>1190</v>
      </c>
      <c r="M530" s="543" t="s">
        <v>1448</v>
      </c>
      <c r="N530" s="123" t="s">
        <v>138</v>
      </c>
      <c r="O530" s="544" t="s">
        <v>139</v>
      </c>
      <c r="P530" s="413" t="s">
        <v>122</v>
      </c>
      <c r="Q530" s="428" t="s">
        <v>2457</v>
      </c>
      <c r="R530" s="545" t="s">
        <v>2458</v>
      </c>
      <c r="S530" s="429" t="s">
        <v>1816</v>
      </c>
      <c r="T530" s="615" t="s">
        <v>2459</v>
      </c>
      <c r="U530" s="545" t="s">
        <v>2460</v>
      </c>
      <c r="V530" s="545" t="s">
        <v>2461</v>
      </c>
      <c r="W530" s="618" t="s">
        <v>2434</v>
      </c>
      <c r="X530" s="616">
        <v>14700000</v>
      </c>
      <c r="Y530" s="616">
        <v>14700000</v>
      </c>
      <c r="Z530" s="433">
        <f t="shared" si="42"/>
        <v>1</v>
      </c>
      <c r="AA530" s="434" t="s">
        <v>1445</v>
      </c>
      <c r="AB530" s="426"/>
      <c r="AC530" s="617" t="s">
        <v>129</v>
      </c>
      <c r="AD530" s="582"/>
      <c r="AE530" s="582"/>
      <c r="AF530" s="582"/>
      <c r="AG530" s="321" t="s">
        <v>1636</v>
      </c>
      <c r="AH530" s="437" t="str">
        <f t="shared" si="43"/>
        <v>0</v>
      </c>
      <c r="AJ530" s="120"/>
      <c r="AK530" s="120" t="s">
        <v>147</v>
      </c>
      <c r="AL530" s="232" t="str">
        <f>VLOOKUP(AK530,'[3]17見直し計画'!$A$50:$AJ$584,6,0)</f>
        <v>　見直し計画策定以降の新規案件</v>
      </c>
      <c r="AM530" s="140">
        <f>VLOOKUP(AK530,'[3]17見直し計画'!$A$50:$AJ$584,8,0)</f>
        <v>0</v>
      </c>
      <c r="AN530" s="180"/>
      <c r="AO530" s="141">
        <f>VLOOKUP(AK530,'[3]17見直し計画'!$A$50:$AJ$584,11,0)</f>
        <v>0</v>
      </c>
      <c r="AP530" s="140">
        <f>VLOOKUP(AK530,'[3]17見直し計画'!$A$50:$AJ$584,12,0)</f>
        <v>0</v>
      </c>
      <c r="AQ530" s="140">
        <f>VLOOKUP(AK530,'[3]17見直し計画'!$A$50:$AJ$584,13,0)</f>
        <v>0</v>
      </c>
      <c r="AR530" s="140">
        <f>VLOOKUP(AK530,'[3]17見直し計画'!$A$50:$AJ$584,14,0)</f>
        <v>0</v>
      </c>
      <c r="AS530" s="140"/>
      <c r="AT530" s="140">
        <f>VLOOKUP(AK530,'[3]17見直し計画'!$A$50:$AJ$584,35,0)</f>
        <v>0</v>
      </c>
      <c r="AU530" s="140">
        <f>VLOOKUP(AK530,'[3]17見直し計画'!$A$50:$AJ$584,36,0)</f>
        <v>0</v>
      </c>
    </row>
    <row r="531" spans="1:47" ht="148.35" hidden="1" customHeight="1">
      <c r="B531" s="123" t="s">
        <v>134</v>
      </c>
      <c r="C531" s="120" t="s">
        <v>135</v>
      </c>
      <c r="D531" s="143" t="s">
        <v>136</v>
      </c>
      <c r="E531">
        <f t="shared" si="41"/>
        <v>445</v>
      </c>
      <c r="F531" s="122">
        <v>16</v>
      </c>
      <c r="G531" s="123">
        <v>16</v>
      </c>
      <c r="H531" s="543">
        <v>2201374</v>
      </c>
      <c r="I531" s="424"/>
      <c r="J531" s="543" t="s">
        <v>2462</v>
      </c>
      <c r="K531" s="543" t="s">
        <v>195</v>
      </c>
      <c r="L531" s="543" t="s">
        <v>1182</v>
      </c>
      <c r="M531" s="543" t="s">
        <v>1183</v>
      </c>
      <c r="N531" s="123" t="s">
        <v>138</v>
      </c>
      <c r="O531" s="544" t="s">
        <v>139</v>
      </c>
      <c r="P531" s="321" t="s">
        <v>122</v>
      </c>
      <c r="Q531" s="428" t="s">
        <v>2463</v>
      </c>
      <c r="R531" s="545" t="s">
        <v>2464</v>
      </c>
      <c r="S531" s="429" t="s">
        <v>1816</v>
      </c>
      <c r="T531" s="615" t="s">
        <v>2459</v>
      </c>
      <c r="U531" s="545" t="s">
        <v>303</v>
      </c>
      <c r="V531" s="545" t="s">
        <v>304</v>
      </c>
      <c r="W531" s="545" t="s">
        <v>1695</v>
      </c>
      <c r="X531" s="616">
        <v>8161230</v>
      </c>
      <c r="Y531" s="616">
        <v>8161230</v>
      </c>
      <c r="Z531" s="433">
        <f t="shared" si="42"/>
        <v>1</v>
      </c>
      <c r="AA531" s="434" t="s">
        <v>1445</v>
      </c>
      <c r="AB531" s="426"/>
      <c r="AC531" s="617" t="s">
        <v>129</v>
      </c>
      <c r="AD531" s="582"/>
      <c r="AE531" s="582"/>
      <c r="AF531" s="582"/>
      <c r="AG531" s="321" t="s">
        <v>1636</v>
      </c>
      <c r="AH531" s="437" t="str">
        <f t="shared" si="43"/>
        <v>0</v>
      </c>
      <c r="AJ531" s="120"/>
      <c r="AK531" s="120" t="s">
        <v>147</v>
      </c>
      <c r="AL531" s="232" t="str">
        <f>VLOOKUP(AK531,'[3]17見直し計画'!$A$50:$AJ$584,6,0)</f>
        <v>　見直し計画策定以降の新規案件</v>
      </c>
      <c r="AM531" s="140">
        <f>VLOOKUP(AK531,'[3]17見直し計画'!$A$50:$AJ$584,8,0)</f>
        <v>0</v>
      </c>
      <c r="AN531" s="180"/>
      <c r="AO531" s="141">
        <f>VLOOKUP(AK531,'[3]17見直し計画'!$A$50:$AJ$584,11,0)</f>
        <v>0</v>
      </c>
      <c r="AP531" s="140">
        <f>VLOOKUP(AK531,'[3]17見直し計画'!$A$50:$AJ$584,12,0)</f>
        <v>0</v>
      </c>
      <c r="AQ531" s="140">
        <f>VLOOKUP(AK531,'[3]17見直し計画'!$A$50:$AJ$584,13,0)</f>
        <v>0</v>
      </c>
      <c r="AR531" s="140">
        <f>VLOOKUP(AK531,'[3]17見直し計画'!$A$50:$AJ$584,14,0)</f>
        <v>0</v>
      </c>
      <c r="AS531" s="140"/>
      <c r="AT531" s="140">
        <f>VLOOKUP(AK531,'[3]17見直し計画'!$A$50:$AJ$584,35,0)</f>
        <v>0</v>
      </c>
      <c r="AU531" s="140">
        <f>VLOOKUP(AK531,'[3]17見直し計画'!$A$50:$AJ$584,36,0)</f>
        <v>0</v>
      </c>
    </row>
    <row r="532" spans="1:47" ht="148.35" hidden="1" customHeight="1">
      <c r="B532" s="123" t="s">
        <v>134</v>
      </c>
      <c r="C532" s="120" t="s">
        <v>135</v>
      </c>
      <c r="D532" s="143" t="s">
        <v>136</v>
      </c>
      <c r="E532">
        <f t="shared" si="41"/>
        <v>446</v>
      </c>
      <c r="F532" s="122">
        <v>17</v>
      </c>
      <c r="G532" s="123">
        <v>17</v>
      </c>
      <c r="H532" s="543">
        <v>2201384</v>
      </c>
      <c r="I532" s="424"/>
      <c r="J532" s="543" t="s">
        <v>2465</v>
      </c>
      <c r="K532" s="543" t="s">
        <v>353</v>
      </c>
      <c r="L532" s="543" t="s">
        <v>1182</v>
      </c>
      <c r="M532" s="543" t="s">
        <v>1183</v>
      </c>
      <c r="N532" s="123" t="s">
        <v>138</v>
      </c>
      <c r="O532" s="544" t="s">
        <v>139</v>
      </c>
      <c r="P532" s="321" t="s">
        <v>122</v>
      </c>
      <c r="Q532" s="428" t="s">
        <v>2466</v>
      </c>
      <c r="R532" s="545" t="s">
        <v>2467</v>
      </c>
      <c r="S532" s="429" t="s">
        <v>1816</v>
      </c>
      <c r="T532" s="615" t="s">
        <v>2468</v>
      </c>
      <c r="U532" s="545" t="s">
        <v>2469</v>
      </c>
      <c r="V532" s="545" t="s">
        <v>2470</v>
      </c>
      <c r="W532" s="545" t="s">
        <v>1695</v>
      </c>
      <c r="X532" s="616">
        <v>4988340</v>
      </c>
      <c r="Y532" s="616">
        <v>4988340</v>
      </c>
      <c r="Z532" s="433">
        <f t="shared" si="42"/>
        <v>1</v>
      </c>
      <c r="AA532" s="434" t="s">
        <v>1445</v>
      </c>
      <c r="AB532" s="426"/>
      <c r="AC532" s="617" t="s">
        <v>129</v>
      </c>
      <c r="AD532" s="582"/>
      <c r="AE532" s="582"/>
      <c r="AF532" s="582"/>
      <c r="AG532" s="321" t="s">
        <v>1636</v>
      </c>
      <c r="AH532" s="437" t="str">
        <f t="shared" si="43"/>
        <v>0</v>
      </c>
      <c r="AJ532" s="120"/>
      <c r="AK532" s="120" t="s">
        <v>2471</v>
      </c>
      <c r="AL532" s="232" t="str">
        <f>VLOOKUP(AK532,'[3]17見直し計画'!$A$50:$AJ$584,6,0)</f>
        <v>富士テレコム株式会社</v>
      </c>
      <c r="AM532" s="140" t="str">
        <f>VLOOKUP(AK532,'[3]17見直し計画'!$A$50:$AJ$584,8,0)</f>
        <v>「国会関連業務支援システム・アプリケーション追加構築」業務委嘱</v>
      </c>
      <c r="AN532" s="180">
        <f>VLOOKUP(AK532,'[3]17見直し計画'!$A$50:$AJ$584,10,0)</f>
        <v>38644</v>
      </c>
      <c r="AO532" s="141">
        <f>VLOOKUP(AK532,'[3]17見直し計画'!$A$50:$AJ$584,11,0)</f>
        <v>1887480</v>
      </c>
      <c r="AP532" s="140" t="str">
        <f>VLOOKUP(AK532,'[3]17見直し計画'!$A$50:$AJ$584,12,0)</f>
        <v>システムの開発業者が、自社製品やカスタマイズされた独自の機器、システムを使用しているため、その保守・運用・改修等を行えるのは当該業者以外になく、他に競争を許さない（会計法第２９条の３第４項）。</v>
      </c>
      <c r="AQ532" s="140" t="str">
        <f>VLOOKUP(AK532,'[3]17見直し計画'!$A$50:$AJ$584,13,0)</f>
        <v>見直しの余地があるもの</v>
      </c>
      <c r="AR532" s="140" t="str">
        <f>VLOOKUP(AK532,'[3]17見直し計画'!$A$50:$AJ$584,14,0)</f>
        <v>１８年度において当該事務・事業の委託等を行う予定のないもの</v>
      </c>
      <c r="AS532" s="140"/>
      <c r="AT532" s="140">
        <f>VLOOKUP(AK532,'[3]17見直し計画'!$A$50:$AJ$584,35,0)</f>
        <v>0</v>
      </c>
      <c r="AU532" s="140">
        <f>VLOOKUP(AK532,'[3]17見直し計画'!$A$50:$AJ$584,36,0)</f>
        <v>0</v>
      </c>
    </row>
    <row r="533" spans="1:47" ht="105.6" customHeight="1">
      <c r="A533" t="s">
        <v>2472</v>
      </c>
      <c r="B533" s="126" t="s">
        <v>1495</v>
      </c>
      <c r="C533" s="120" t="s">
        <v>350</v>
      </c>
      <c r="D533" s="120" t="s">
        <v>477</v>
      </c>
      <c r="E533">
        <f t="shared" si="41"/>
        <v>447</v>
      </c>
      <c r="F533" s="122">
        <v>18</v>
      </c>
      <c r="G533" s="123">
        <v>18</v>
      </c>
      <c r="H533" s="543">
        <v>2201408</v>
      </c>
      <c r="I533" s="424"/>
      <c r="J533" s="543" t="s">
        <v>2473</v>
      </c>
      <c r="K533" s="543" t="s">
        <v>1222</v>
      </c>
      <c r="L533" s="543" t="s">
        <v>1190</v>
      </c>
      <c r="M533" s="543" t="s">
        <v>1448</v>
      </c>
      <c r="N533" s="123" t="s">
        <v>138</v>
      </c>
      <c r="O533" s="544" t="s">
        <v>139</v>
      </c>
      <c r="P533" s="321" t="s">
        <v>122</v>
      </c>
      <c r="Q533" s="428" t="s">
        <v>2474</v>
      </c>
      <c r="R533" s="545" t="s">
        <v>2475</v>
      </c>
      <c r="S533" s="429" t="s">
        <v>1816</v>
      </c>
      <c r="T533" s="615" t="s">
        <v>2468</v>
      </c>
      <c r="U533" s="545" t="s">
        <v>1498</v>
      </c>
      <c r="V533" s="545" t="s">
        <v>1499</v>
      </c>
      <c r="W533" s="426" t="s">
        <v>1785</v>
      </c>
      <c r="X533" s="616">
        <v>2145600</v>
      </c>
      <c r="Y533" s="616">
        <v>2145600</v>
      </c>
      <c r="Z533" s="433">
        <f t="shared" si="42"/>
        <v>1</v>
      </c>
      <c r="AA533" s="434" t="s">
        <v>1445</v>
      </c>
      <c r="AB533" s="426"/>
      <c r="AC533" s="617" t="s">
        <v>129</v>
      </c>
      <c r="AD533" s="582"/>
      <c r="AE533" s="582"/>
      <c r="AF533" s="582"/>
      <c r="AG533" s="321" t="s">
        <v>1636</v>
      </c>
      <c r="AH533" s="437" t="str">
        <f t="shared" si="43"/>
        <v>0</v>
      </c>
      <c r="AJ533" s="120"/>
      <c r="AK533" s="120" t="s">
        <v>147</v>
      </c>
      <c r="AL533" s="232" t="str">
        <f>VLOOKUP(AK533,'[3]17見直し計画'!$A$50:$AJ$584,6,0)</f>
        <v>　見直し計画策定以降の新規案件</v>
      </c>
      <c r="AM533" s="140">
        <f>VLOOKUP(AK533,'[3]17見直し計画'!$A$50:$AJ$584,8,0)</f>
        <v>0</v>
      </c>
      <c r="AN533" s="180"/>
      <c r="AO533" s="141">
        <f>VLOOKUP(AK533,'[3]17見直し計画'!$A$50:$AJ$584,11,0)</f>
        <v>0</v>
      </c>
      <c r="AP533" s="140">
        <f>VLOOKUP(AK533,'[3]17見直し計画'!$A$50:$AJ$584,12,0)</f>
        <v>0</v>
      </c>
      <c r="AQ533" s="140">
        <f>VLOOKUP(AK533,'[3]17見直し計画'!$A$50:$AJ$584,13,0)</f>
        <v>0</v>
      </c>
      <c r="AR533" s="140">
        <f>VLOOKUP(AK533,'[3]17見直し計画'!$A$50:$AJ$584,14,0)</f>
        <v>0</v>
      </c>
      <c r="AS533" s="140"/>
      <c r="AT533" s="140">
        <f>VLOOKUP(AK533,'[3]17見直し計画'!$A$50:$AJ$584,35,0)</f>
        <v>0</v>
      </c>
      <c r="AU533" s="140">
        <f>VLOOKUP(AK533,'[3]17見直し計画'!$A$50:$AJ$584,36,0)</f>
        <v>0</v>
      </c>
    </row>
    <row r="534" spans="1:47" ht="105.6" hidden="1" customHeight="1">
      <c r="B534" s="123" t="s">
        <v>218</v>
      </c>
      <c r="C534" s="120" t="s">
        <v>135</v>
      </c>
      <c r="D534" s="143" t="s">
        <v>136</v>
      </c>
      <c r="E534">
        <f>SUM(E533+1)</f>
        <v>448</v>
      </c>
      <c r="F534" s="122">
        <v>19</v>
      </c>
      <c r="G534" s="123">
        <v>19</v>
      </c>
      <c r="H534" s="543">
        <v>2201390</v>
      </c>
      <c r="I534" s="424"/>
      <c r="J534" s="543" t="s">
        <v>2476</v>
      </c>
      <c r="K534" s="543" t="s">
        <v>1397</v>
      </c>
      <c r="L534" s="543" t="s">
        <v>1163</v>
      </c>
      <c r="M534" s="543" t="s">
        <v>2477</v>
      </c>
      <c r="N534" s="123" t="s">
        <v>138</v>
      </c>
      <c r="O534" s="544" t="s">
        <v>139</v>
      </c>
      <c r="P534" s="321" t="s">
        <v>122</v>
      </c>
      <c r="Q534" s="428" t="s">
        <v>2478</v>
      </c>
      <c r="R534" s="545" t="s">
        <v>2479</v>
      </c>
      <c r="S534" s="429" t="s">
        <v>1816</v>
      </c>
      <c r="T534" s="615" t="s">
        <v>2480</v>
      </c>
      <c r="U534" s="545" t="s">
        <v>2481</v>
      </c>
      <c r="V534" s="545" t="s">
        <v>2482</v>
      </c>
      <c r="W534" s="545" t="s">
        <v>2483</v>
      </c>
      <c r="X534" s="616">
        <v>2398570</v>
      </c>
      <c r="Y534" s="616">
        <v>2398570</v>
      </c>
      <c r="Z534" s="433">
        <f t="shared" si="42"/>
        <v>1</v>
      </c>
      <c r="AA534" s="434" t="s">
        <v>1445</v>
      </c>
      <c r="AB534" s="426"/>
      <c r="AC534" s="617" t="s">
        <v>129</v>
      </c>
      <c r="AD534" s="582"/>
      <c r="AE534" s="582"/>
      <c r="AF534" s="582"/>
      <c r="AG534" s="321" t="s">
        <v>1636</v>
      </c>
      <c r="AH534" s="437" t="str">
        <f t="shared" si="43"/>
        <v>0</v>
      </c>
      <c r="AJ534" s="120"/>
      <c r="AK534" s="120" t="s">
        <v>147</v>
      </c>
      <c r="AL534" s="232" t="str">
        <f>VLOOKUP(AK534,'[3]17見直し計画'!$A$50:$AJ$584,6,0)</f>
        <v>　見直し計画策定以降の新規案件</v>
      </c>
      <c r="AM534" s="140">
        <f>VLOOKUP(AK534,'[3]17見直し計画'!$A$50:$AJ$584,8,0)</f>
        <v>0</v>
      </c>
      <c r="AN534" s="180"/>
      <c r="AO534" s="141">
        <f>VLOOKUP(AK534,'[3]17見直し計画'!$A$50:$AJ$584,11,0)</f>
        <v>0</v>
      </c>
      <c r="AP534" s="140">
        <f>VLOOKUP(AK534,'[3]17見直し計画'!$A$50:$AJ$584,12,0)</f>
        <v>0</v>
      </c>
      <c r="AQ534" s="140">
        <f>VLOOKUP(AK534,'[3]17見直し計画'!$A$50:$AJ$584,13,0)</f>
        <v>0</v>
      </c>
      <c r="AR534" s="140">
        <f>VLOOKUP(AK534,'[3]17見直し計画'!$A$50:$AJ$584,14,0)</f>
        <v>0</v>
      </c>
      <c r="AS534" s="140"/>
      <c r="AT534" s="140">
        <f>VLOOKUP(AK534,'[3]17見直し計画'!$A$50:$AJ$584,35,0)</f>
        <v>0</v>
      </c>
      <c r="AU534" s="140">
        <f>VLOOKUP(AK534,'[3]17見直し計画'!$A$50:$AJ$584,36,0)</f>
        <v>0</v>
      </c>
    </row>
    <row r="535" spans="1:47" ht="105.6" hidden="1" customHeight="1">
      <c r="B535" s="575" t="s">
        <v>284</v>
      </c>
      <c r="C535" s="576" t="s">
        <v>135</v>
      </c>
      <c r="D535" s="226" t="s">
        <v>136</v>
      </c>
      <c r="E535">
        <f t="shared" si="41"/>
        <v>449</v>
      </c>
      <c r="F535" s="122">
        <v>20</v>
      </c>
      <c r="G535" s="123">
        <v>20</v>
      </c>
      <c r="H535" s="625">
        <v>2201607</v>
      </c>
      <c r="I535" s="424"/>
      <c r="J535" s="626"/>
      <c r="K535" s="627" t="s">
        <v>2484</v>
      </c>
      <c r="L535" s="627" t="s">
        <v>2485</v>
      </c>
      <c r="M535" s="627" t="s">
        <v>2486</v>
      </c>
      <c r="N535" s="123" t="s">
        <v>138</v>
      </c>
      <c r="O535" s="544" t="s">
        <v>139</v>
      </c>
      <c r="P535" s="321" t="s">
        <v>122</v>
      </c>
      <c r="Q535" s="428" t="s">
        <v>2487</v>
      </c>
      <c r="R535" s="545" t="s">
        <v>2488</v>
      </c>
      <c r="S535" s="429" t="s">
        <v>1816</v>
      </c>
      <c r="T535" s="615" t="s">
        <v>2489</v>
      </c>
      <c r="U535" s="545" t="s">
        <v>2490</v>
      </c>
      <c r="V535" s="545" t="s">
        <v>2491</v>
      </c>
      <c r="W535" s="545" t="s">
        <v>2492</v>
      </c>
      <c r="X535" s="616">
        <v>15355242</v>
      </c>
      <c r="Y535" s="616">
        <v>15355242</v>
      </c>
      <c r="Z535" s="433">
        <f t="shared" si="42"/>
        <v>1</v>
      </c>
      <c r="AA535" s="434" t="s">
        <v>1445</v>
      </c>
      <c r="AB535" s="426"/>
      <c r="AC535" s="628" t="s">
        <v>1445</v>
      </c>
      <c r="AD535" s="582"/>
      <c r="AE535" s="582"/>
      <c r="AF535" s="582"/>
      <c r="AG535" s="321" t="s">
        <v>1636</v>
      </c>
      <c r="AH535" s="437" t="str">
        <f t="shared" si="43"/>
        <v>0</v>
      </c>
      <c r="AJ535" s="120"/>
      <c r="AK535" s="120" t="s">
        <v>147</v>
      </c>
      <c r="AL535" s="232" t="str">
        <f>VLOOKUP(AK535,'[3]17見直し計画'!$A$50:$AJ$584,6,0)</f>
        <v>　見直し計画策定以降の新規案件</v>
      </c>
      <c r="AM535" s="140">
        <f>VLOOKUP(AK535,'[3]17見直し計画'!$A$50:$AJ$584,8,0)</f>
        <v>0</v>
      </c>
      <c r="AN535" s="180"/>
      <c r="AO535" s="141">
        <f>VLOOKUP(AK535,'[3]17見直し計画'!$A$50:$AJ$584,11,0)</f>
        <v>0</v>
      </c>
      <c r="AP535" s="140">
        <f>VLOOKUP(AK535,'[3]17見直し計画'!$A$50:$AJ$584,12,0)</f>
        <v>0</v>
      </c>
      <c r="AQ535" s="140">
        <f>VLOOKUP(AK535,'[3]17見直し計画'!$A$50:$AJ$584,13,0)</f>
        <v>0</v>
      </c>
      <c r="AR535" s="140">
        <f>VLOOKUP(AK535,'[3]17見直し計画'!$A$50:$AJ$584,14,0)</f>
        <v>0</v>
      </c>
      <c r="AS535" s="140"/>
      <c r="AT535" s="140">
        <f>VLOOKUP(AK535,'[3]17見直し計画'!$A$50:$AJ$584,35,0)</f>
        <v>0</v>
      </c>
      <c r="AU535" s="140">
        <f>VLOOKUP(AK535,'[3]17見直し計画'!$A$50:$AJ$584,36,0)</f>
        <v>0</v>
      </c>
    </row>
    <row r="536" spans="1:47" ht="148.35" hidden="1" customHeight="1">
      <c r="B536" s="575" t="s">
        <v>284</v>
      </c>
      <c r="C536" s="120" t="s">
        <v>135</v>
      </c>
      <c r="D536" s="143" t="s">
        <v>136</v>
      </c>
      <c r="E536">
        <f t="shared" si="41"/>
        <v>450</v>
      </c>
      <c r="F536" s="122">
        <v>21</v>
      </c>
      <c r="G536" s="123">
        <v>21</v>
      </c>
      <c r="H536" s="543">
        <v>2201405</v>
      </c>
      <c r="I536" s="424"/>
      <c r="J536" s="543" t="s">
        <v>2493</v>
      </c>
      <c r="K536" s="543" t="s">
        <v>842</v>
      </c>
      <c r="L536" s="543" t="s">
        <v>1182</v>
      </c>
      <c r="M536" s="543" t="s">
        <v>1183</v>
      </c>
      <c r="N536" s="123" t="s">
        <v>138</v>
      </c>
      <c r="O536" s="544" t="s">
        <v>139</v>
      </c>
      <c r="P536" s="321" t="s">
        <v>122</v>
      </c>
      <c r="Q536" s="428" t="s">
        <v>2494</v>
      </c>
      <c r="R536" s="545" t="s">
        <v>2495</v>
      </c>
      <c r="S536" s="429" t="s">
        <v>1816</v>
      </c>
      <c r="T536" s="615" t="s">
        <v>2496</v>
      </c>
      <c r="U536" s="545" t="s">
        <v>269</v>
      </c>
      <c r="V536" s="545" t="s">
        <v>270</v>
      </c>
      <c r="W536" s="545" t="s">
        <v>1695</v>
      </c>
      <c r="X536" s="616">
        <v>8190105</v>
      </c>
      <c r="Y536" s="616">
        <v>8190105</v>
      </c>
      <c r="Z536" s="433">
        <f t="shared" si="42"/>
        <v>1</v>
      </c>
      <c r="AA536" s="434" t="s">
        <v>1445</v>
      </c>
      <c r="AB536" s="426"/>
      <c r="AC536" s="617" t="s">
        <v>129</v>
      </c>
      <c r="AD536" s="582"/>
      <c r="AE536" s="582"/>
      <c r="AF536" s="582"/>
      <c r="AG536" s="321" t="s">
        <v>1636</v>
      </c>
      <c r="AH536" s="437" t="str">
        <f t="shared" si="43"/>
        <v>0</v>
      </c>
      <c r="AJ536" s="120"/>
      <c r="AK536" s="120" t="s">
        <v>147</v>
      </c>
      <c r="AL536" s="232" t="str">
        <f>VLOOKUP(AK536,'[3]17見直し計画'!$A$50:$AJ$584,6,0)</f>
        <v>　見直し計画策定以降の新規案件</v>
      </c>
      <c r="AM536" s="140">
        <f>VLOOKUP(AK536,'[3]17見直し計画'!$A$50:$AJ$584,8,0)</f>
        <v>0</v>
      </c>
      <c r="AN536" s="180"/>
      <c r="AO536" s="141">
        <f>VLOOKUP(AK536,'[3]17見直し計画'!$A$50:$AJ$584,11,0)</f>
        <v>0</v>
      </c>
      <c r="AP536" s="140">
        <f>VLOOKUP(AK536,'[3]17見直し計画'!$A$50:$AJ$584,12,0)</f>
        <v>0</v>
      </c>
      <c r="AQ536" s="140">
        <f>VLOOKUP(AK536,'[3]17見直し計画'!$A$50:$AJ$584,13,0)</f>
        <v>0</v>
      </c>
      <c r="AR536" s="140">
        <f>VLOOKUP(AK536,'[3]17見直し計画'!$A$50:$AJ$584,14,0)</f>
        <v>0</v>
      </c>
      <c r="AS536" s="140"/>
      <c r="AT536" s="140">
        <f>VLOOKUP(AK536,'[3]17見直し計画'!$A$50:$AJ$584,35,0)</f>
        <v>0</v>
      </c>
      <c r="AU536" s="140">
        <f>VLOOKUP(AK536,'[3]17見直し計画'!$A$50:$AJ$584,36,0)</f>
        <v>0</v>
      </c>
    </row>
    <row r="537" spans="1:47" ht="162.6" hidden="1" customHeight="1">
      <c r="B537" s="575" t="s">
        <v>284</v>
      </c>
      <c r="C537" s="120" t="s">
        <v>135</v>
      </c>
      <c r="D537" s="143" t="s">
        <v>136</v>
      </c>
      <c r="E537">
        <f t="shared" si="41"/>
        <v>451</v>
      </c>
      <c r="F537" s="122">
        <v>22</v>
      </c>
      <c r="G537" s="123">
        <v>22</v>
      </c>
      <c r="H537" s="543">
        <v>2201409</v>
      </c>
      <c r="I537" s="459"/>
      <c r="J537" s="543" t="s">
        <v>2497</v>
      </c>
      <c r="K537" s="543" t="s">
        <v>195</v>
      </c>
      <c r="L537" s="543" t="s">
        <v>1182</v>
      </c>
      <c r="M537" s="543" t="s">
        <v>1183</v>
      </c>
      <c r="N537" s="123" t="s">
        <v>138</v>
      </c>
      <c r="O537" s="544" t="s">
        <v>139</v>
      </c>
      <c r="P537" s="321" t="s">
        <v>122</v>
      </c>
      <c r="Q537" s="428" t="s">
        <v>2498</v>
      </c>
      <c r="R537" s="545" t="s">
        <v>2499</v>
      </c>
      <c r="S537" s="429" t="s">
        <v>1816</v>
      </c>
      <c r="T537" s="615" t="s">
        <v>2500</v>
      </c>
      <c r="U537" s="545" t="s">
        <v>269</v>
      </c>
      <c r="V537" s="545" t="s">
        <v>270</v>
      </c>
      <c r="W537" s="426" t="s">
        <v>2501</v>
      </c>
      <c r="X537" s="616">
        <v>4575606</v>
      </c>
      <c r="Y537" s="616">
        <v>4575606</v>
      </c>
      <c r="Z537" s="433">
        <f t="shared" si="42"/>
        <v>1</v>
      </c>
      <c r="AA537" s="434" t="s">
        <v>1445</v>
      </c>
      <c r="AB537" s="426"/>
      <c r="AC537" s="617" t="s">
        <v>129</v>
      </c>
      <c r="AD537" s="591"/>
      <c r="AE537" s="591"/>
      <c r="AF537" s="591"/>
      <c r="AG537" s="321" t="s">
        <v>1636</v>
      </c>
      <c r="AH537" s="437" t="str">
        <f t="shared" si="43"/>
        <v>0</v>
      </c>
      <c r="AJ537" s="120"/>
      <c r="AK537" s="120" t="s">
        <v>147</v>
      </c>
      <c r="AL537" s="232" t="str">
        <f>VLOOKUP(AK537,'[3]17見直し計画'!$A$50:$AJ$584,6,0)</f>
        <v>　見直し計画策定以降の新規案件</v>
      </c>
      <c r="AM537" s="140">
        <f>VLOOKUP(AK537,'[3]17見直し計画'!$A$50:$AJ$584,8,0)</f>
        <v>0</v>
      </c>
      <c r="AN537" s="180"/>
      <c r="AO537" s="141">
        <f>VLOOKUP(AK537,'[3]17見直し計画'!$A$50:$AJ$584,11,0)</f>
        <v>0</v>
      </c>
      <c r="AP537" s="140">
        <f>VLOOKUP(AK537,'[3]17見直し計画'!$A$50:$AJ$584,12,0)</f>
        <v>0</v>
      </c>
      <c r="AQ537" s="140">
        <f>VLOOKUP(AK537,'[3]17見直し計画'!$A$50:$AJ$584,13,0)</f>
        <v>0</v>
      </c>
      <c r="AR537" s="140">
        <f>VLOOKUP(AK537,'[3]17見直し計画'!$A$50:$AJ$584,14,0)</f>
        <v>0</v>
      </c>
      <c r="AS537" s="140"/>
      <c r="AT537" s="140">
        <f>VLOOKUP(AK537,'[3]17見直し計画'!$A$50:$AJ$584,35,0)</f>
        <v>0</v>
      </c>
      <c r="AU537" s="140">
        <f>VLOOKUP(AK537,'[3]17見直し計画'!$A$50:$AJ$584,36,0)</f>
        <v>0</v>
      </c>
    </row>
    <row r="538" spans="1:47" ht="148.35" hidden="1" customHeight="1">
      <c r="B538" s="575" t="s">
        <v>134</v>
      </c>
      <c r="C538" s="120" t="s">
        <v>135</v>
      </c>
      <c r="D538" s="143" t="s">
        <v>136</v>
      </c>
      <c r="E538">
        <f t="shared" si="41"/>
        <v>452</v>
      </c>
      <c r="F538" s="122">
        <v>23</v>
      </c>
      <c r="G538" s="123">
        <v>23</v>
      </c>
      <c r="H538" s="543">
        <v>2201406</v>
      </c>
      <c r="I538" s="519"/>
      <c r="J538" s="543" t="s">
        <v>2502</v>
      </c>
      <c r="K538" s="543" t="s">
        <v>195</v>
      </c>
      <c r="L538" s="543" t="s">
        <v>1182</v>
      </c>
      <c r="M538" s="543" t="s">
        <v>1183</v>
      </c>
      <c r="N538" s="123" t="s">
        <v>138</v>
      </c>
      <c r="O538" s="544" t="s">
        <v>139</v>
      </c>
      <c r="P538" s="321" t="s">
        <v>122</v>
      </c>
      <c r="Q538" s="428" t="s">
        <v>2503</v>
      </c>
      <c r="R538" s="545" t="s">
        <v>2504</v>
      </c>
      <c r="S538" s="429" t="s">
        <v>1816</v>
      </c>
      <c r="T538" s="615" t="s">
        <v>2500</v>
      </c>
      <c r="U538" s="545" t="s">
        <v>468</v>
      </c>
      <c r="V538" s="545" t="s">
        <v>469</v>
      </c>
      <c r="W538" s="545" t="s">
        <v>1695</v>
      </c>
      <c r="X538" s="616">
        <v>3030664</v>
      </c>
      <c r="Y538" s="616">
        <v>3030664</v>
      </c>
      <c r="Z538" s="433">
        <f t="shared" si="42"/>
        <v>1</v>
      </c>
      <c r="AA538" s="434" t="s">
        <v>1445</v>
      </c>
      <c r="AB538" s="426"/>
      <c r="AC538" s="617" t="s">
        <v>129</v>
      </c>
      <c r="AD538" s="603"/>
      <c r="AE538" s="603"/>
      <c r="AF538" s="603"/>
      <c r="AG538" s="321" t="s">
        <v>1636</v>
      </c>
      <c r="AH538" s="437" t="str">
        <f t="shared" si="43"/>
        <v>0</v>
      </c>
      <c r="AJ538" s="120"/>
      <c r="AK538" s="120" t="s">
        <v>147</v>
      </c>
      <c r="AL538" s="232" t="str">
        <f>VLOOKUP(AK538,'[3]17見直し計画'!$A$50:$AJ$584,6,0)</f>
        <v>　見直し計画策定以降の新規案件</v>
      </c>
      <c r="AM538" s="140">
        <f>VLOOKUP(AK538,'[3]17見直し計画'!$A$50:$AJ$584,8,0)</f>
        <v>0</v>
      </c>
      <c r="AN538" s="180"/>
      <c r="AO538" s="141">
        <f>VLOOKUP(AK538,'[3]17見直し計画'!$A$50:$AJ$584,11,0)</f>
        <v>0</v>
      </c>
      <c r="AP538" s="140">
        <f>VLOOKUP(AK538,'[3]17見直し計画'!$A$50:$AJ$584,12,0)</f>
        <v>0</v>
      </c>
      <c r="AQ538" s="140">
        <f>VLOOKUP(AK538,'[3]17見直し計画'!$A$50:$AJ$584,13,0)</f>
        <v>0</v>
      </c>
      <c r="AR538" s="140">
        <f>VLOOKUP(AK538,'[3]17見直し計画'!$A$50:$AJ$584,14,0)</f>
        <v>0</v>
      </c>
      <c r="AS538" s="140"/>
      <c r="AT538" s="140">
        <f>VLOOKUP(AK538,'[3]17見直し計画'!$A$50:$AJ$584,35,0)</f>
        <v>0</v>
      </c>
      <c r="AU538" s="140">
        <f>VLOOKUP(AK538,'[3]17見直し計画'!$A$50:$AJ$584,36,0)</f>
        <v>0</v>
      </c>
    </row>
    <row r="539" spans="1:47" ht="148.35" hidden="1" customHeight="1">
      <c r="B539" s="575" t="s">
        <v>134</v>
      </c>
      <c r="C539" s="120" t="s">
        <v>135</v>
      </c>
      <c r="D539" s="143" t="s">
        <v>136</v>
      </c>
      <c r="E539">
        <f t="shared" si="41"/>
        <v>453</v>
      </c>
      <c r="F539" s="122">
        <v>24</v>
      </c>
      <c r="G539" s="123">
        <v>24</v>
      </c>
      <c r="H539" s="543">
        <v>2201410</v>
      </c>
      <c r="I539" s="523"/>
      <c r="J539" s="543" t="s">
        <v>2505</v>
      </c>
      <c r="K539" s="543" t="s">
        <v>286</v>
      </c>
      <c r="L539" s="543" t="s">
        <v>1182</v>
      </c>
      <c r="M539" s="543" t="s">
        <v>1183</v>
      </c>
      <c r="N539" s="123" t="s">
        <v>138</v>
      </c>
      <c r="O539" s="544" t="s">
        <v>139</v>
      </c>
      <c r="P539" s="321" t="s">
        <v>122</v>
      </c>
      <c r="Q539" s="428" t="s">
        <v>2506</v>
      </c>
      <c r="R539" s="545" t="s">
        <v>2507</v>
      </c>
      <c r="S539" s="429" t="s">
        <v>1816</v>
      </c>
      <c r="T539" s="615" t="s">
        <v>2500</v>
      </c>
      <c r="U539" s="545" t="s">
        <v>622</v>
      </c>
      <c r="V539" s="545" t="s">
        <v>623</v>
      </c>
      <c r="W539" s="426" t="s">
        <v>1695</v>
      </c>
      <c r="X539" s="616">
        <v>1014300</v>
      </c>
      <c r="Y539" s="616">
        <v>1014300</v>
      </c>
      <c r="Z539" s="433">
        <f t="shared" si="42"/>
        <v>1</v>
      </c>
      <c r="AA539" s="434" t="s">
        <v>1445</v>
      </c>
      <c r="AB539" s="426"/>
      <c r="AC539" s="617" t="s">
        <v>129</v>
      </c>
      <c r="AD539" s="604"/>
      <c r="AE539" s="604"/>
      <c r="AF539" s="604"/>
      <c r="AG539" s="321" t="s">
        <v>1636</v>
      </c>
      <c r="AH539" s="437" t="str">
        <f t="shared" si="43"/>
        <v>0</v>
      </c>
      <c r="AJ539" s="120"/>
      <c r="AK539" s="120" t="s">
        <v>147</v>
      </c>
      <c r="AL539" s="232" t="str">
        <f>VLOOKUP(AK539,'[3]17見直し計画'!$A$50:$AJ$584,6,0)</f>
        <v>　見直し計画策定以降の新規案件</v>
      </c>
      <c r="AM539" s="140">
        <f>VLOOKUP(AK539,'[3]17見直し計画'!$A$50:$AJ$584,8,0)</f>
        <v>0</v>
      </c>
      <c r="AN539" s="180"/>
      <c r="AO539" s="141">
        <f>VLOOKUP(AK539,'[3]17見直し計画'!$A$50:$AJ$584,11,0)</f>
        <v>0</v>
      </c>
      <c r="AP539" s="140">
        <f>VLOOKUP(AK539,'[3]17見直し計画'!$A$50:$AJ$584,12,0)</f>
        <v>0</v>
      </c>
      <c r="AQ539" s="140">
        <f>VLOOKUP(AK539,'[3]17見直し計画'!$A$50:$AJ$584,13,0)</f>
        <v>0</v>
      </c>
      <c r="AR539" s="140">
        <f>VLOOKUP(AK539,'[3]17見直し計画'!$A$50:$AJ$584,14,0)</f>
        <v>0</v>
      </c>
      <c r="AS539" s="140"/>
      <c r="AT539" s="140">
        <f>VLOOKUP(AK539,'[3]17見直し計画'!$A$50:$AJ$584,35,0)</f>
        <v>0</v>
      </c>
      <c r="AU539" s="140">
        <f>VLOOKUP(AK539,'[3]17見直し計画'!$A$50:$AJ$584,36,0)</f>
        <v>0</v>
      </c>
    </row>
    <row r="540" spans="1:47" ht="148.35" hidden="1" customHeight="1">
      <c r="B540" s="575" t="s">
        <v>134</v>
      </c>
      <c r="C540" s="120" t="s">
        <v>135</v>
      </c>
      <c r="D540" s="143" t="s">
        <v>136</v>
      </c>
      <c r="E540">
        <f t="shared" si="41"/>
        <v>454</v>
      </c>
      <c r="F540" s="122">
        <v>25</v>
      </c>
      <c r="G540" s="123">
        <v>25</v>
      </c>
      <c r="H540" s="543">
        <v>2201454</v>
      </c>
      <c r="I540" s="424"/>
      <c r="J540" s="543" t="s">
        <v>2508</v>
      </c>
      <c r="K540" s="543" t="s">
        <v>195</v>
      </c>
      <c r="L540" s="543" t="s">
        <v>1182</v>
      </c>
      <c r="M540" s="543" t="s">
        <v>1183</v>
      </c>
      <c r="N540" s="123" t="s">
        <v>138</v>
      </c>
      <c r="O540" s="544" t="s">
        <v>139</v>
      </c>
      <c r="P540" s="321" t="s">
        <v>122</v>
      </c>
      <c r="Q540" s="428" t="s">
        <v>2509</v>
      </c>
      <c r="R540" s="545" t="s">
        <v>2510</v>
      </c>
      <c r="S540" s="429" t="s">
        <v>1816</v>
      </c>
      <c r="T540" s="615" t="s">
        <v>2511</v>
      </c>
      <c r="U540" s="545" t="s">
        <v>222</v>
      </c>
      <c r="V540" s="545" t="s">
        <v>333</v>
      </c>
      <c r="W540" s="545" t="s">
        <v>1695</v>
      </c>
      <c r="X540" s="616">
        <v>18144000</v>
      </c>
      <c r="Y540" s="616">
        <v>18144000</v>
      </c>
      <c r="Z540" s="433">
        <f t="shared" si="42"/>
        <v>1</v>
      </c>
      <c r="AA540" s="434" t="s">
        <v>1445</v>
      </c>
      <c r="AB540" s="426"/>
      <c r="AC540" s="617" t="s">
        <v>129</v>
      </c>
      <c r="AD540" s="582"/>
      <c r="AE540" s="582"/>
      <c r="AF540" s="582"/>
      <c r="AG540" s="321" t="s">
        <v>1636</v>
      </c>
      <c r="AH540" s="437" t="str">
        <f t="shared" si="43"/>
        <v>0</v>
      </c>
      <c r="AJ540" s="120"/>
      <c r="AK540" s="120" t="s">
        <v>147</v>
      </c>
      <c r="AL540" s="232" t="str">
        <f>VLOOKUP(AK540,'[3]17見直し計画'!$A$50:$AJ$584,6,0)</f>
        <v>　見直し計画策定以降の新規案件</v>
      </c>
      <c r="AM540" s="140">
        <f>VLOOKUP(AK540,'[3]17見直し計画'!$A$50:$AJ$584,8,0)</f>
        <v>0</v>
      </c>
      <c r="AN540" s="180"/>
      <c r="AO540" s="141">
        <f>VLOOKUP(AK540,'[3]17見直し計画'!$A$50:$AJ$584,11,0)</f>
        <v>0</v>
      </c>
      <c r="AP540" s="140">
        <f>VLOOKUP(AK540,'[3]17見直し計画'!$A$50:$AJ$584,12,0)</f>
        <v>0</v>
      </c>
      <c r="AQ540" s="140">
        <f>VLOOKUP(AK540,'[3]17見直し計画'!$A$50:$AJ$584,13,0)</f>
        <v>0</v>
      </c>
      <c r="AR540" s="140">
        <f>VLOOKUP(AK540,'[3]17見直し計画'!$A$50:$AJ$584,14,0)</f>
        <v>0</v>
      </c>
      <c r="AS540" s="140"/>
      <c r="AT540" s="140">
        <f>VLOOKUP(AK540,'[3]17見直し計画'!$A$50:$AJ$584,35,0)</f>
        <v>0</v>
      </c>
      <c r="AU540" s="140">
        <f>VLOOKUP(AK540,'[3]17見直し計画'!$A$50:$AJ$584,36,0)</f>
        <v>0</v>
      </c>
    </row>
    <row r="541" spans="1:47" ht="105.6" hidden="1" customHeight="1">
      <c r="B541" s="182"/>
      <c r="C541" s="182"/>
      <c r="D541" s="223" t="s">
        <v>421</v>
      </c>
      <c r="E541">
        <f t="shared" si="41"/>
        <v>455</v>
      </c>
      <c r="F541" s="185">
        <v>26</v>
      </c>
      <c r="G541" s="186">
        <v>26</v>
      </c>
      <c r="H541" s="610">
        <v>2201421</v>
      </c>
      <c r="I541" s="441"/>
      <c r="J541" s="610" t="s">
        <v>2512</v>
      </c>
      <c r="K541" s="610" t="s">
        <v>433</v>
      </c>
      <c r="L541" s="610" t="s">
        <v>1163</v>
      </c>
      <c r="M541" s="610" t="s">
        <v>1456</v>
      </c>
      <c r="N541" s="186" t="s">
        <v>230</v>
      </c>
      <c r="O541" s="550" t="s">
        <v>139</v>
      </c>
      <c r="P541" s="611" t="s">
        <v>2251</v>
      </c>
      <c r="Q541" s="444" t="s">
        <v>2513</v>
      </c>
      <c r="R541" s="442" t="s">
        <v>2514</v>
      </c>
      <c r="S541" s="445" t="s">
        <v>1816</v>
      </c>
      <c r="T541" s="612" t="s">
        <v>2511</v>
      </c>
      <c r="U541" s="442" t="s">
        <v>280</v>
      </c>
      <c r="V541" s="442" t="s">
        <v>281</v>
      </c>
      <c r="W541" s="442" t="s">
        <v>1643</v>
      </c>
      <c r="X541" s="613">
        <v>1200000</v>
      </c>
      <c r="Y541" s="613">
        <v>1178100</v>
      </c>
      <c r="Z541" s="448">
        <f t="shared" si="42"/>
        <v>0.98099999999999998</v>
      </c>
      <c r="AA541" s="440">
        <v>1</v>
      </c>
      <c r="AB541" s="442"/>
      <c r="AC541" s="614">
        <v>1</v>
      </c>
      <c r="AD541" s="599"/>
      <c r="AE541" s="599"/>
      <c r="AF541" s="599"/>
      <c r="AG541" s="328" t="s">
        <v>1636</v>
      </c>
      <c r="AH541" s="201" t="str">
        <f t="shared" si="43"/>
        <v>0</v>
      </c>
      <c r="AI541" s="184"/>
      <c r="AJ541" s="182"/>
      <c r="AK541" s="182" t="s">
        <v>147</v>
      </c>
      <c r="AL541" s="231" t="str">
        <f>VLOOKUP(AK541,'[3]17見直し計画'!$A$50:$AJ$584,6,0)</f>
        <v>　見直し計画策定以降の新規案件</v>
      </c>
      <c r="AM541" s="204">
        <f>VLOOKUP(AK541,'[3]17見直し計画'!$A$50:$AJ$584,8,0)</f>
        <v>0</v>
      </c>
      <c r="AN541" s="224"/>
      <c r="AO541" s="205">
        <f>VLOOKUP(AK541,'[3]17見直し計画'!$A$50:$AJ$584,11,0)</f>
        <v>0</v>
      </c>
      <c r="AP541" s="204">
        <f>VLOOKUP(AK541,'[3]17見直し計画'!$A$50:$AJ$584,12,0)</f>
        <v>0</v>
      </c>
      <c r="AQ541" s="204">
        <f>VLOOKUP(AK541,'[3]17見直し計画'!$A$50:$AJ$584,13,0)</f>
        <v>0</v>
      </c>
      <c r="AR541" s="204">
        <f>VLOOKUP(AK541,'[3]17見直し計画'!$A$50:$AJ$584,14,0)</f>
        <v>0</v>
      </c>
      <c r="AS541" s="204"/>
      <c r="AT541" s="204">
        <f>VLOOKUP(AK541,'[3]17見直し計画'!$A$50:$AJ$584,35,0)</f>
        <v>0</v>
      </c>
      <c r="AU541" s="204">
        <f>VLOOKUP(AK541,'[3]17見直し計画'!$A$50:$AJ$584,36,0)</f>
        <v>0</v>
      </c>
    </row>
    <row r="542" spans="1:47" ht="142.5" hidden="1">
      <c r="B542" s="575" t="s">
        <v>134</v>
      </c>
      <c r="C542" s="120" t="s">
        <v>135</v>
      </c>
      <c r="D542" s="143" t="s">
        <v>136</v>
      </c>
      <c r="E542">
        <f t="shared" si="41"/>
        <v>456</v>
      </c>
      <c r="F542" s="122">
        <v>1</v>
      </c>
      <c r="G542" s="123">
        <v>1</v>
      </c>
      <c r="H542" s="543">
        <v>2201362</v>
      </c>
      <c r="I542" s="424"/>
      <c r="J542" s="543" t="s">
        <v>2515</v>
      </c>
      <c r="K542" s="543" t="s">
        <v>229</v>
      </c>
      <c r="L542" s="543" t="s">
        <v>1182</v>
      </c>
      <c r="M542" s="543" t="s">
        <v>1183</v>
      </c>
      <c r="N542" s="120" t="s">
        <v>138</v>
      </c>
      <c r="O542" s="544" t="s">
        <v>139</v>
      </c>
      <c r="P542" s="321" t="s">
        <v>122</v>
      </c>
      <c r="Q542" s="428" t="s">
        <v>2516</v>
      </c>
      <c r="R542" s="545" t="s">
        <v>2517</v>
      </c>
      <c r="S542" s="429" t="s">
        <v>1816</v>
      </c>
      <c r="T542" s="615" t="s">
        <v>2518</v>
      </c>
      <c r="U542" s="545" t="s">
        <v>2519</v>
      </c>
      <c r="V542" s="545" t="s">
        <v>449</v>
      </c>
      <c r="W542" s="545" t="s">
        <v>1695</v>
      </c>
      <c r="X542" s="616">
        <v>3130714</v>
      </c>
      <c r="Y542" s="616">
        <v>3130714</v>
      </c>
      <c r="Z542" s="433">
        <f>ROUNDDOWN(Y542/X542,3)</f>
        <v>1</v>
      </c>
      <c r="AA542" s="434" t="s">
        <v>1445</v>
      </c>
      <c r="AB542" s="426"/>
      <c r="AC542" s="434" t="s">
        <v>1445</v>
      </c>
      <c r="AD542" s="582" t="s">
        <v>146</v>
      </c>
      <c r="AE542" s="582"/>
      <c r="AF542" s="582"/>
      <c r="AG542" s="321" t="s">
        <v>1636</v>
      </c>
      <c r="AH542" s="434" t="s">
        <v>1445</v>
      </c>
      <c r="AJ542" s="120"/>
      <c r="AK542" s="120" t="s">
        <v>147</v>
      </c>
      <c r="AL542" s="232" t="str">
        <f>VLOOKUP(AK542,'[3]17見直し計画'!$A$50:$AJ$584,6,0)</f>
        <v>　見直し計画策定以降の新規案件</v>
      </c>
      <c r="AM542" s="140">
        <f>VLOOKUP(AK542,'[3]17見直し計画'!$A$50:$AJ$584,8,0)</f>
        <v>0</v>
      </c>
      <c r="AN542" s="180"/>
      <c r="AO542" s="141">
        <f>VLOOKUP(AK542,'[3]17見直し計画'!$A$50:$AJ$584,11,0)</f>
        <v>0</v>
      </c>
      <c r="AP542" s="140">
        <f>VLOOKUP(AK542,'[3]17見直し計画'!$A$50:$AJ$584,12,0)</f>
        <v>0</v>
      </c>
      <c r="AQ542" s="140">
        <f>VLOOKUP(AK542,'[3]17見直し計画'!$A$50:$AJ$584,13,0)</f>
        <v>0</v>
      </c>
      <c r="AR542" s="140">
        <f>VLOOKUP(AK542,'[3]17見直し計画'!$A$50:$AJ$584,14,0)</f>
        <v>0</v>
      </c>
      <c r="AS542" s="140"/>
      <c r="AT542" s="140">
        <f>VLOOKUP(AK542,'[3]17見直し計画'!$A$50:$AJ$584,35,0)</f>
        <v>0</v>
      </c>
      <c r="AU542" s="140">
        <f>VLOOKUP(AK542,'[3]17見直し計画'!$A$50:$AJ$584,36,0)</f>
        <v>0</v>
      </c>
    </row>
    <row r="543" spans="1:47" ht="128.25" hidden="1">
      <c r="B543" s="126" t="s">
        <v>1644</v>
      </c>
      <c r="C543" s="120" t="s">
        <v>135</v>
      </c>
      <c r="D543" s="120" t="s">
        <v>136</v>
      </c>
      <c r="E543">
        <f t="shared" si="41"/>
        <v>457</v>
      </c>
      <c r="F543" s="122">
        <v>2</v>
      </c>
      <c r="G543" s="123">
        <v>2</v>
      </c>
      <c r="H543" s="543">
        <v>2201441</v>
      </c>
      <c r="I543" s="424"/>
      <c r="J543" s="543" t="s">
        <v>2520</v>
      </c>
      <c r="K543" s="543" t="s">
        <v>1510</v>
      </c>
      <c r="L543" s="543" t="s">
        <v>1190</v>
      </c>
      <c r="M543" s="543" t="s">
        <v>1191</v>
      </c>
      <c r="N543" s="120" t="s">
        <v>138</v>
      </c>
      <c r="O543" s="544" t="s">
        <v>139</v>
      </c>
      <c r="P543" s="321" t="s">
        <v>122</v>
      </c>
      <c r="Q543" s="428" t="s">
        <v>2521</v>
      </c>
      <c r="R543" s="545" t="s">
        <v>2522</v>
      </c>
      <c r="S543" s="429" t="s">
        <v>1816</v>
      </c>
      <c r="T543" s="615" t="s">
        <v>2518</v>
      </c>
      <c r="U543" s="545" t="s">
        <v>2523</v>
      </c>
      <c r="V543" s="545" t="s">
        <v>1701</v>
      </c>
      <c r="W543" s="545" t="s">
        <v>2524</v>
      </c>
      <c r="X543" s="629">
        <v>1720400</v>
      </c>
      <c r="Y543" s="616">
        <v>1535400</v>
      </c>
      <c r="Z543" s="433">
        <f t="shared" ref="Z543:Z578" si="44">ROUNDDOWN(Y543/X543,3)</f>
        <v>0.89200000000000002</v>
      </c>
      <c r="AA543" s="434" t="s">
        <v>1445</v>
      </c>
      <c r="AB543" s="426"/>
      <c r="AC543" s="434" t="s">
        <v>1445</v>
      </c>
      <c r="AD543" s="582" t="s">
        <v>146</v>
      </c>
      <c r="AE543" s="582"/>
      <c r="AF543" s="582"/>
      <c r="AG543" s="321" t="s">
        <v>1636</v>
      </c>
      <c r="AH543" s="434" t="s">
        <v>1445</v>
      </c>
      <c r="AJ543" s="120"/>
      <c r="AK543" s="120" t="s">
        <v>147</v>
      </c>
      <c r="AL543" s="232" t="str">
        <f>VLOOKUP(AK543,'[3]17見直し計画'!$A$50:$AJ$584,6,0)</f>
        <v>　見直し計画策定以降の新規案件</v>
      </c>
      <c r="AM543" s="140">
        <f>VLOOKUP(AK543,'[3]17見直し計画'!$A$50:$AJ$584,8,0)</f>
        <v>0</v>
      </c>
      <c r="AN543" s="180"/>
      <c r="AO543" s="141">
        <f>VLOOKUP(AK543,'[3]17見直し計画'!$A$50:$AJ$584,11,0)</f>
        <v>0</v>
      </c>
      <c r="AP543" s="140">
        <f>VLOOKUP(AK543,'[3]17見直し計画'!$A$50:$AJ$584,12,0)</f>
        <v>0</v>
      </c>
      <c r="AQ543" s="140">
        <f>VLOOKUP(AK543,'[3]17見直し計画'!$A$50:$AJ$584,13,0)</f>
        <v>0</v>
      </c>
      <c r="AR543" s="140">
        <f>VLOOKUP(AK543,'[3]17見直し計画'!$A$50:$AJ$584,14,0)</f>
        <v>0</v>
      </c>
      <c r="AS543" s="140"/>
      <c r="AT543" s="140">
        <f>VLOOKUP(AK543,'[3]17見直し計画'!$A$50:$AJ$584,35,0)</f>
        <v>0</v>
      </c>
      <c r="AU543" s="140">
        <f>VLOOKUP(AK543,'[3]17見直し計画'!$A$50:$AJ$584,36,0)</f>
        <v>0</v>
      </c>
    </row>
    <row r="544" spans="1:47" ht="71.25">
      <c r="B544" s="291" t="s">
        <v>2525</v>
      </c>
      <c r="C544" s="120" t="s">
        <v>350</v>
      </c>
      <c r="D544" s="143" t="s">
        <v>477</v>
      </c>
      <c r="E544">
        <f t="shared" si="41"/>
        <v>458</v>
      </c>
      <c r="F544" s="122">
        <v>3</v>
      </c>
      <c r="G544" s="123">
        <v>3</v>
      </c>
      <c r="H544" s="543">
        <v>2201359</v>
      </c>
      <c r="I544" s="424"/>
      <c r="J544" s="543" t="s">
        <v>2526</v>
      </c>
      <c r="K544" s="543" t="s">
        <v>640</v>
      </c>
      <c r="L544" s="543" t="s">
        <v>1182</v>
      </c>
      <c r="M544" s="543" t="s">
        <v>1183</v>
      </c>
      <c r="N544" s="120" t="s">
        <v>687</v>
      </c>
      <c r="O544" s="544" t="s">
        <v>688</v>
      </c>
      <c r="P544" s="321" t="s">
        <v>122</v>
      </c>
      <c r="Q544" s="428" t="s">
        <v>2527</v>
      </c>
      <c r="R544" s="545" t="s">
        <v>2528</v>
      </c>
      <c r="S544" s="429" t="s">
        <v>1816</v>
      </c>
      <c r="T544" s="615" t="s">
        <v>2529</v>
      </c>
      <c r="U544" s="545" t="s">
        <v>2530</v>
      </c>
      <c r="V544" s="545" t="s">
        <v>1650</v>
      </c>
      <c r="W544" s="545" t="s">
        <v>2531</v>
      </c>
      <c r="X544" s="616">
        <v>16569000</v>
      </c>
      <c r="Y544" s="616">
        <v>16569000</v>
      </c>
      <c r="Z544" s="433">
        <f t="shared" si="44"/>
        <v>1</v>
      </c>
      <c r="AA544" s="434" t="s">
        <v>1445</v>
      </c>
      <c r="AB544" s="426"/>
      <c r="AC544" s="434" t="s">
        <v>1445</v>
      </c>
      <c r="AD544" s="582" t="s">
        <v>693</v>
      </c>
      <c r="AE544" s="582"/>
      <c r="AF544" s="582"/>
      <c r="AG544" s="321" t="s">
        <v>1636</v>
      </c>
      <c r="AH544" s="434" t="s">
        <v>1445</v>
      </c>
      <c r="AJ544" s="120"/>
      <c r="AK544" s="120" t="s">
        <v>147</v>
      </c>
      <c r="AL544" s="232" t="str">
        <f>VLOOKUP(AK544,'[3]17見直し計画'!$A$50:$AJ$584,6,0)</f>
        <v>　見直し計画策定以降の新規案件</v>
      </c>
      <c r="AM544" s="140">
        <f>VLOOKUP(AK544,'[3]17見直し計画'!$A$50:$AJ$584,8,0)</f>
        <v>0</v>
      </c>
      <c r="AN544" s="180"/>
      <c r="AO544" s="141">
        <f>VLOOKUP(AK544,'[3]17見直し計画'!$A$50:$AJ$584,11,0)</f>
        <v>0</v>
      </c>
      <c r="AP544" s="140">
        <f>VLOOKUP(AK544,'[3]17見直し計画'!$A$50:$AJ$584,12,0)</f>
        <v>0</v>
      </c>
      <c r="AQ544" s="140">
        <f>VLOOKUP(AK544,'[3]17見直し計画'!$A$50:$AJ$584,13,0)</f>
        <v>0</v>
      </c>
      <c r="AR544" s="140">
        <f>VLOOKUP(AK544,'[3]17見直し計画'!$A$50:$AJ$584,14,0)</f>
        <v>0</v>
      </c>
      <c r="AS544" s="140"/>
      <c r="AT544" s="140">
        <f>VLOOKUP(AK544,'[3]17見直し計画'!$A$50:$AJ$584,35,0)</f>
        <v>0</v>
      </c>
      <c r="AU544" s="140">
        <f>VLOOKUP(AK544,'[3]17見直し計画'!$A$50:$AJ$584,36,0)</f>
        <v>0</v>
      </c>
    </row>
    <row r="545" spans="1:47" ht="99.75" hidden="1">
      <c r="B545" s="182"/>
      <c r="C545" s="182"/>
      <c r="D545" s="223" t="s">
        <v>421</v>
      </c>
      <c r="E545">
        <f>SUM(E544+1)</f>
        <v>459</v>
      </c>
      <c r="F545" s="185">
        <v>4</v>
      </c>
      <c r="G545" s="186">
        <v>4</v>
      </c>
      <c r="H545" s="610">
        <v>2201446</v>
      </c>
      <c r="I545" s="441"/>
      <c r="J545" s="610" t="s">
        <v>2532</v>
      </c>
      <c r="K545" s="610" t="s">
        <v>433</v>
      </c>
      <c r="L545" s="610" t="s">
        <v>1190</v>
      </c>
      <c r="M545" s="610" t="s">
        <v>1448</v>
      </c>
      <c r="N545" s="182" t="s">
        <v>277</v>
      </c>
      <c r="O545" s="550" t="s">
        <v>121</v>
      </c>
      <c r="P545" s="328" t="s">
        <v>2251</v>
      </c>
      <c r="Q545" s="444" t="s">
        <v>2533</v>
      </c>
      <c r="R545" s="442" t="s">
        <v>2534</v>
      </c>
      <c r="S545" s="445" t="s">
        <v>1816</v>
      </c>
      <c r="T545" s="612" t="s">
        <v>2529</v>
      </c>
      <c r="U545" s="442" t="s">
        <v>2535</v>
      </c>
      <c r="V545" s="442" t="s">
        <v>781</v>
      </c>
      <c r="W545" s="442" t="s">
        <v>1747</v>
      </c>
      <c r="X545" s="613">
        <v>3906000</v>
      </c>
      <c r="Y545" s="613">
        <v>3695542</v>
      </c>
      <c r="Z545" s="448">
        <f t="shared" si="44"/>
        <v>0.94599999999999995</v>
      </c>
      <c r="AA545" s="527">
        <v>1</v>
      </c>
      <c r="AB545" s="442"/>
      <c r="AC545" s="630">
        <v>2</v>
      </c>
      <c r="AD545" s="599" t="s">
        <v>1249</v>
      </c>
      <c r="AE545" s="599"/>
      <c r="AF545" s="599"/>
      <c r="AG545" s="328" t="s">
        <v>1636</v>
      </c>
      <c r="AH545" s="630">
        <v>2</v>
      </c>
      <c r="AI545" s="184"/>
      <c r="AJ545" s="182"/>
      <c r="AK545" s="182" t="s">
        <v>147</v>
      </c>
      <c r="AL545" s="231" t="str">
        <f>VLOOKUP(AK545,'[3]17見直し計画'!$A$50:$AJ$584,6,0)</f>
        <v>　見直し計画策定以降の新規案件</v>
      </c>
      <c r="AM545" s="204">
        <f>VLOOKUP(AK545,'[3]17見直し計画'!$A$50:$AJ$584,8,0)</f>
        <v>0</v>
      </c>
      <c r="AN545" s="224"/>
      <c r="AO545" s="205">
        <f>VLOOKUP(AK545,'[3]17見直し計画'!$A$50:$AJ$584,11,0)</f>
        <v>0</v>
      </c>
      <c r="AP545" s="204">
        <f>VLOOKUP(AK545,'[3]17見直し計画'!$A$50:$AJ$584,12,0)</f>
        <v>0</v>
      </c>
      <c r="AQ545" s="204">
        <f>VLOOKUP(AK545,'[3]17見直し計画'!$A$50:$AJ$584,13,0)</f>
        <v>0</v>
      </c>
      <c r="AR545" s="204">
        <f>VLOOKUP(AK545,'[3]17見直し計画'!$A$50:$AJ$584,14,0)</f>
        <v>0</v>
      </c>
      <c r="AS545" s="204"/>
      <c r="AT545" s="204">
        <f>VLOOKUP(AK545,'[3]17見直し計画'!$A$50:$AJ$584,35,0)</f>
        <v>0</v>
      </c>
      <c r="AU545" s="204">
        <f>VLOOKUP(AK545,'[3]17見直し計画'!$A$50:$AJ$584,36,0)</f>
        <v>0</v>
      </c>
    </row>
    <row r="546" spans="1:47" ht="142.5" hidden="1">
      <c r="B546" s="120" t="s">
        <v>213</v>
      </c>
      <c r="C546" s="120" t="s">
        <v>135</v>
      </c>
      <c r="D546" s="143" t="s">
        <v>136</v>
      </c>
      <c r="E546">
        <f t="shared" si="41"/>
        <v>460</v>
      </c>
      <c r="F546" s="122">
        <v>5</v>
      </c>
      <c r="G546" s="123">
        <v>5</v>
      </c>
      <c r="H546" s="543">
        <v>2201471</v>
      </c>
      <c r="I546" s="424"/>
      <c r="J546" s="543" t="s">
        <v>2536</v>
      </c>
      <c r="K546" s="543" t="s">
        <v>137</v>
      </c>
      <c r="L546" s="543" t="s">
        <v>1182</v>
      </c>
      <c r="M546" s="543" t="s">
        <v>1183</v>
      </c>
      <c r="N546" s="120" t="s">
        <v>186</v>
      </c>
      <c r="O546" s="544" t="s">
        <v>187</v>
      </c>
      <c r="P546" s="321" t="s">
        <v>122</v>
      </c>
      <c r="Q546" s="428" t="s">
        <v>2537</v>
      </c>
      <c r="R546" s="545" t="s">
        <v>2538</v>
      </c>
      <c r="S546" s="429" t="s">
        <v>1816</v>
      </c>
      <c r="T546" s="615" t="s">
        <v>2539</v>
      </c>
      <c r="U546" s="545" t="s">
        <v>190</v>
      </c>
      <c r="V546" s="545" t="s">
        <v>143</v>
      </c>
      <c r="W546" s="545" t="s">
        <v>1695</v>
      </c>
      <c r="X546" s="616">
        <v>8342250</v>
      </c>
      <c r="Y546" s="616">
        <v>8342250</v>
      </c>
      <c r="Z546" s="433">
        <f t="shared" si="44"/>
        <v>1</v>
      </c>
      <c r="AA546" s="434" t="s">
        <v>1445</v>
      </c>
      <c r="AB546" s="426"/>
      <c r="AC546" s="434" t="s">
        <v>1445</v>
      </c>
      <c r="AD546" s="582" t="s">
        <v>192</v>
      </c>
      <c r="AE546" s="582"/>
      <c r="AF546" s="582"/>
      <c r="AG546" s="321" t="s">
        <v>1636</v>
      </c>
      <c r="AH546" s="434" t="s">
        <v>1445</v>
      </c>
      <c r="AJ546" s="120"/>
      <c r="AK546" s="120" t="s">
        <v>147</v>
      </c>
      <c r="AL546" s="232" t="str">
        <f>VLOOKUP(AK546,'[3]17見直し計画'!$A$50:$AJ$584,6,0)</f>
        <v>　見直し計画策定以降の新規案件</v>
      </c>
      <c r="AM546" s="140">
        <f>VLOOKUP(AK546,'[3]17見直し計画'!$A$50:$AJ$584,8,0)</f>
        <v>0</v>
      </c>
      <c r="AN546" s="180"/>
      <c r="AO546" s="141">
        <f>VLOOKUP(AK546,'[3]17見直し計画'!$A$50:$AJ$584,11,0)</f>
        <v>0</v>
      </c>
      <c r="AP546" s="140">
        <f>VLOOKUP(AK546,'[3]17見直し計画'!$A$50:$AJ$584,12,0)</f>
        <v>0</v>
      </c>
      <c r="AQ546" s="140">
        <f>VLOOKUP(AK546,'[3]17見直し計画'!$A$50:$AJ$584,13,0)</f>
        <v>0</v>
      </c>
      <c r="AR546" s="140">
        <f>VLOOKUP(AK546,'[3]17見直し計画'!$A$50:$AJ$584,14,0)</f>
        <v>0</v>
      </c>
      <c r="AS546" s="140"/>
      <c r="AT546" s="140">
        <f>VLOOKUP(AK546,'[3]17見直し計画'!$A$50:$AJ$584,35,0)</f>
        <v>0</v>
      </c>
      <c r="AU546" s="140">
        <f>VLOOKUP(AK546,'[3]17見直し計画'!$A$50:$AJ$584,36,0)</f>
        <v>0</v>
      </c>
    </row>
    <row r="547" spans="1:47" ht="142.5" hidden="1">
      <c r="B547" s="120" t="s">
        <v>134</v>
      </c>
      <c r="C547" s="120" t="s">
        <v>135</v>
      </c>
      <c r="D547" s="120" t="s">
        <v>136</v>
      </c>
      <c r="E547">
        <f t="shared" si="41"/>
        <v>461</v>
      </c>
      <c r="F547" s="122">
        <v>6</v>
      </c>
      <c r="G547" s="123">
        <v>6</v>
      </c>
      <c r="H547" s="543">
        <v>2201472</v>
      </c>
      <c r="I547" s="424"/>
      <c r="J547" s="543" t="s">
        <v>2540</v>
      </c>
      <c r="K547" s="543" t="s">
        <v>195</v>
      </c>
      <c r="L547" s="543" t="s">
        <v>1182</v>
      </c>
      <c r="M547" s="543" t="s">
        <v>2541</v>
      </c>
      <c r="N547" s="120" t="s">
        <v>138</v>
      </c>
      <c r="O547" s="544" t="s">
        <v>139</v>
      </c>
      <c r="P547" s="321" t="s">
        <v>122</v>
      </c>
      <c r="Q547" s="428" t="s">
        <v>2542</v>
      </c>
      <c r="R547" s="545" t="s">
        <v>2543</v>
      </c>
      <c r="S547" s="429" t="s">
        <v>1816</v>
      </c>
      <c r="T547" s="615" t="s">
        <v>2539</v>
      </c>
      <c r="U547" s="545" t="s">
        <v>1238</v>
      </c>
      <c r="V547" s="545" t="s">
        <v>304</v>
      </c>
      <c r="W547" s="545" t="s">
        <v>1695</v>
      </c>
      <c r="X547" s="616">
        <v>5871645</v>
      </c>
      <c r="Y547" s="616">
        <v>5871645</v>
      </c>
      <c r="Z547" s="433">
        <f t="shared" si="44"/>
        <v>1</v>
      </c>
      <c r="AA547" s="434" t="s">
        <v>1445</v>
      </c>
      <c r="AB547" s="426"/>
      <c r="AC547" s="434" t="s">
        <v>1445</v>
      </c>
      <c r="AD547" s="582" t="s">
        <v>146</v>
      </c>
      <c r="AE547" s="582"/>
      <c r="AF547" s="582"/>
      <c r="AG547" s="321" t="s">
        <v>1636</v>
      </c>
      <c r="AH547" s="434" t="s">
        <v>1445</v>
      </c>
      <c r="AJ547" s="120"/>
      <c r="AK547" s="120" t="s">
        <v>147</v>
      </c>
      <c r="AL547" s="232" t="str">
        <f>VLOOKUP(AK547,'[3]17見直し計画'!$A$50:$AJ$584,6,0)</f>
        <v>　見直し計画策定以降の新規案件</v>
      </c>
      <c r="AM547" s="140">
        <f>VLOOKUP(AK547,'[3]17見直し計画'!$A$50:$AJ$584,8,0)</f>
        <v>0</v>
      </c>
      <c r="AN547" s="180"/>
      <c r="AO547" s="141">
        <f>VLOOKUP(AK547,'[3]17見直し計画'!$A$50:$AJ$584,11,0)</f>
        <v>0</v>
      </c>
      <c r="AP547" s="140">
        <f>VLOOKUP(AK547,'[3]17見直し計画'!$A$50:$AJ$584,12,0)</f>
        <v>0</v>
      </c>
      <c r="AQ547" s="140">
        <f>VLOOKUP(AK547,'[3]17見直し計画'!$A$50:$AJ$584,13,0)</f>
        <v>0</v>
      </c>
      <c r="AR547" s="140">
        <f>VLOOKUP(AK547,'[3]17見直し計画'!$A$50:$AJ$584,14,0)</f>
        <v>0</v>
      </c>
      <c r="AS547" s="140"/>
      <c r="AT547" s="140">
        <f>VLOOKUP(AK547,'[3]17見直し計画'!$A$50:$AJ$584,35,0)</f>
        <v>0</v>
      </c>
      <c r="AU547" s="140">
        <f>VLOOKUP(AK547,'[3]17見直し計画'!$A$50:$AJ$584,36,0)</f>
        <v>0</v>
      </c>
    </row>
    <row r="548" spans="1:47" ht="142.5" hidden="1">
      <c r="B548" s="120" t="s">
        <v>134</v>
      </c>
      <c r="C548" s="120" t="s">
        <v>135</v>
      </c>
      <c r="D548" s="120" t="s">
        <v>136</v>
      </c>
      <c r="E548">
        <f t="shared" si="41"/>
        <v>462</v>
      </c>
      <c r="F548" s="122">
        <v>7</v>
      </c>
      <c r="G548" s="123">
        <v>7</v>
      </c>
      <c r="H548" s="543">
        <v>2201473</v>
      </c>
      <c r="I548" s="424"/>
      <c r="J548" s="543" t="s">
        <v>2544</v>
      </c>
      <c r="K548" s="543" t="s">
        <v>195</v>
      </c>
      <c r="L548" s="543" t="s">
        <v>1182</v>
      </c>
      <c r="M548" s="543" t="s">
        <v>2541</v>
      </c>
      <c r="N548" s="120" t="s">
        <v>138</v>
      </c>
      <c r="O548" s="544" t="s">
        <v>139</v>
      </c>
      <c r="P548" s="321" t="s">
        <v>122</v>
      </c>
      <c r="Q548" s="428" t="s">
        <v>2545</v>
      </c>
      <c r="R548" s="545" t="s">
        <v>2546</v>
      </c>
      <c r="S548" s="429" t="s">
        <v>1816</v>
      </c>
      <c r="T548" s="615" t="s">
        <v>2539</v>
      </c>
      <c r="U548" s="545" t="s">
        <v>303</v>
      </c>
      <c r="V548" s="545" t="s">
        <v>304</v>
      </c>
      <c r="W548" s="545" t="s">
        <v>1695</v>
      </c>
      <c r="X548" s="616">
        <v>5213325</v>
      </c>
      <c r="Y548" s="616">
        <v>5213325</v>
      </c>
      <c r="Z548" s="433">
        <f t="shared" si="44"/>
        <v>1</v>
      </c>
      <c r="AA548" s="434" t="s">
        <v>1445</v>
      </c>
      <c r="AB548" s="426"/>
      <c r="AC548" s="434" t="s">
        <v>1445</v>
      </c>
      <c r="AD548" s="582" t="s">
        <v>146</v>
      </c>
      <c r="AE548" s="582"/>
      <c r="AF548" s="582"/>
      <c r="AG548" s="321" t="s">
        <v>1636</v>
      </c>
      <c r="AH548" s="434" t="s">
        <v>1445</v>
      </c>
      <c r="AJ548" s="120"/>
      <c r="AK548" s="120" t="s">
        <v>147</v>
      </c>
      <c r="AL548" s="232" t="str">
        <f>VLOOKUP(AK548,'[3]17見直し計画'!$A$50:$AJ$584,6,0)</f>
        <v>　見直し計画策定以降の新規案件</v>
      </c>
      <c r="AM548" s="140">
        <f>VLOOKUP(AK548,'[3]17見直し計画'!$A$50:$AJ$584,8,0)</f>
        <v>0</v>
      </c>
      <c r="AN548" s="180"/>
      <c r="AO548" s="141">
        <f>VLOOKUP(AK548,'[3]17見直し計画'!$A$50:$AJ$584,11,0)</f>
        <v>0</v>
      </c>
      <c r="AP548" s="140">
        <f>VLOOKUP(AK548,'[3]17見直し計画'!$A$50:$AJ$584,12,0)</f>
        <v>0</v>
      </c>
      <c r="AQ548" s="140">
        <f>VLOOKUP(AK548,'[3]17見直し計画'!$A$50:$AJ$584,13,0)</f>
        <v>0</v>
      </c>
      <c r="AR548" s="140">
        <f>VLOOKUP(AK548,'[3]17見直し計画'!$A$50:$AJ$584,14,0)</f>
        <v>0</v>
      </c>
      <c r="AS548" s="140"/>
      <c r="AT548" s="140">
        <f>VLOOKUP(AK548,'[3]17見直し計画'!$A$50:$AJ$584,35,0)</f>
        <v>0</v>
      </c>
      <c r="AU548" s="140">
        <f>VLOOKUP(AK548,'[3]17見直し計画'!$A$50:$AJ$584,36,0)</f>
        <v>0</v>
      </c>
    </row>
    <row r="549" spans="1:47" ht="99.75" hidden="1">
      <c r="B549" s="182"/>
      <c r="C549" s="182"/>
      <c r="D549" s="223" t="s">
        <v>421</v>
      </c>
      <c r="E549">
        <f t="shared" si="41"/>
        <v>463</v>
      </c>
      <c r="F549" s="185">
        <v>8</v>
      </c>
      <c r="G549" s="186">
        <v>8</v>
      </c>
      <c r="H549" s="610">
        <v>2201493</v>
      </c>
      <c r="I549" s="441"/>
      <c r="J549" s="610" t="s">
        <v>2547</v>
      </c>
      <c r="K549" s="610" t="s">
        <v>258</v>
      </c>
      <c r="L549" s="610" t="s">
        <v>1163</v>
      </c>
      <c r="M549" s="610" t="s">
        <v>1761</v>
      </c>
      <c r="N549" s="182" t="s">
        <v>230</v>
      </c>
      <c r="O549" s="550" t="s">
        <v>139</v>
      </c>
      <c r="P549" s="328" t="s">
        <v>2251</v>
      </c>
      <c r="Q549" s="444" t="s">
        <v>2548</v>
      </c>
      <c r="R549" s="442" t="s">
        <v>2549</v>
      </c>
      <c r="S549" s="445" t="s">
        <v>1816</v>
      </c>
      <c r="T549" s="612" t="s">
        <v>2539</v>
      </c>
      <c r="U549" s="442" t="s">
        <v>2550</v>
      </c>
      <c r="V549" s="442" t="s">
        <v>2551</v>
      </c>
      <c r="W549" s="442" t="s">
        <v>1643</v>
      </c>
      <c r="X549" s="613">
        <v>1293957</v>
      </c>
      <c r="Y549" s="613">
        <v>1157751</v>
      </c>
      <c r="Z549" s="448">
        <f t="shared" si="44"/>
        <v>0.89400000000000002</v>
      </c>
      <c r="AA549" s="527" t="s">
        <v>1445</v>
      </c>
      <c r="AB549" s="442"/>
      <c r="AC549" s="630">
        <v>7</v>
      </c>
      <c r="AD549" s="599" t="s">
        <v>237</v>
      </c>
      <c r="AE549" s="599"/>
      <c r="AF549" s="599"/>
      <c r="AG549" s="328" t="s">
        <v>1636</v>
      </c>
      <c r="AH549" s="630">
        <v>7</v>
      </c>
      <c r="AI549" s="184"/>
      <c r="AJ549" s="182"/>
      <c r="AK549" s="182" t="s">
        <v>147</v>
      </c>
      <c r="AL549" s="231" t="str">
        <f>VLOOKUP(AK549,'[3]17見直し計画'!$A$50:$AJ$584,6,0)</f>
        <v>　見直し計画策定以降の新規案件</v>
      </c>
      <c r="AM549" s="204">
        <f>VLOOKUP(AK549,'[3]17見直し計画'!$A$50:$AJ$584,8,0)</f>
        <v>0</v>
      </c>
      <c r="AN549" s="224"/>
      <c r="AO549" s="205">
        <f>VLOOKUP(AK549,'[3]17見直し計画'!$A$50:$AJ$584,11,0)</f>
        <v>0</v>
      </c>
      <c r="AP549" s="204">
        <f>VLOOKUP(AK549,'[3]17見直し計画'!$A$50:$AJ$584,12,0)</f>
        <v>0</v>
      </c>
      <c r="AQ549" s="204">
        <f>VLOOKUP(AK549,'[3]17見直し計画'!$A$50:$AJ$584,13,0)</f>
        <v>0</v>
      </c>
      <c r="AR549" s="204">
        <f>VLOOKUP(AK549,'[3]17見直し計画'!$A$50:$AJ$584,14,0)</f>
        <v>0</v>
      </c>
      <c r="AS549" s="204"/>
      <c r="AT549" s="204">
        <f>VLOOKUP(AK549,'[3]17見直し計画'!$A$50:$AJ$584,35,0)</f>
        <v>0</v>
      </c>
      <c r="AU549" s="204">
        <f>VLOOKUP(AK549,'[3]17見直し計画'!$A$50:$AJ$584,36,0)</f>
        <v>0</v>
      </c>
    </row>
    <row r="550" spans="1:47" ht="99.75" hidden="1">
      <c r="B550" s="182"/>
      <c r="C550" s="182"/>
      <c r="D550" s="223" t="s">
        <v>421</v>
      </c>
      <c r="E550">
        <f t="shared" si="41"/>
        <v>464</v>
      </c>
      <c r="F550" s="185">
        <v>9</v>
      </c>
      <c r="G550" s="186">
        <v>9</v>
      </c>
      <c r="H550" s="610">
        <v>2201476</v>
      </c>
      <c r="I550" s="441"/>
      <c r="J550" s="610" t="s">
        <v>2552</v>
      </c>
      <c r="K550" s="610" t="s">
        <v>195</v>
      </c>
      <c r="L550" s="610" t="s">
        <v>1182</v>
      </c>
      <c r="M550" s="610" t="s">
        <v>1183</v>
      </c>
      <c r="N550" s="182" t="s">
        <v>230</v>
      </c>
      <c r="O550" s="550" t="s">
        <v>139</v>
      </c>
      <c r="P550" s="328" t="s">
        <v>2251</v>
      </c>
      <c r="Q550" s="444" t="s">
        <v>2553</v>
      </c>
      <c r="R550" s="442" t="s">
        <v>2554</v>
      </c>
      <c r="S550" s="445" t="s">
        <v>1816</v>
      </c>
      <c r="T550" s="612" t="s">
        <v>2555</v>
      </c>
      <c r="U550" s="442" t="s">
        <v>2556</v>
      </c>
      <c r="V550" s="442" t="s">
        <v>1769</v>
      </c>
      <c r="W550" s="442" t="s">
        <v>1747</v>
      </c>
      <c r="X550" s="613">
        <v>202695500</v>
      </c>
      <c r="Y550" s="613">
        <v>202695500</v>
      </c>
      <c r="Z550" s="448">
        <f t="shared" si="44"/>
        <v>1</v>
      </c>
      <c r="AA550" s="527" t="s">
        <v>1445</v>
      </c>
      <c r="AB550" s="442"/>
      <c r="AC550" s="630">
        <v>1</v>
      </c>
      <c r="AD550" s="599" t="s">
        <v>631</v>
      </c>
      <c r="AE550" s="599"/>
      <c r="AF550" s="599"/>
      <c r="AG550" s="328" t="s">
        <v>1636</v>
      </c>
      <c r="AH550" s="630">
        <v>1</v>
      </c>
      <c r="AI550" s="184"/>
      <c r="AJ550" s="182"/>
      <c r="AK550" s="182" t="s">
        <v>147</v>
      </c>
      <c r="AL550" s="231" t="str">
        <f>VLOOKUP(AK550,'[3]17見直し計画'!$A$50:$AJ$584,6,0)</f>
        <v>　見直し計画策定以降の新規案件</v>
      </c>
      <c r="AM550" s="204">
        <f>VLOOKUP(AK550,'[3]17見直し計画'!$A$50:$AJ$584,8,0)</f>
        <v>0</v>
      </c>
      <c r="AN550" s="224"/>
      <c r="AO550" s="205">
        <f>VLOOKUP(AK550,'[3]17見直し計画'!$A$50:$AJ$584,11,0)</f>
        <v>0</v>
      </c>
      <c r="AP550" s="204">
        <f>VLOOKUP(AK550,'[3]17見直し計画'!$A$50:$AJ$584,12,0)</f>
        <v>0</v>
      </c>
      <c r="AQ550" s="204">
        <f>VLOOKUP(AK550,'[3]17見直し計画'!$A$50:$AJ$584,13,0)</f>
        <v>0</v>
      </c>
      <c r="AR550" s="204">
        <f>VLOOKUP(AK550,'[3]17見直し計画'!$A$50:$AJ$584,14,0)</f>
        <v>0</v>
      </c>
      <c r="AS550" s="204"/>
      <c r="AT550" s="204">
        <f>VLOOKUP(AK550,'[3]17見直し計画'!$A$50:$AJ$584,35,0)</f>
        <v>0</v>
      </c>
      <c r="AU550" s="204">
        <f>VLOOKUP(AK550,'[3]17見直し計画'!$A$50:$AJ$584,36,0)</f>
        <v>0</v>
      </c>
    </row>
    <row r="551" spans="1:47" ht="142.5" hidden="1">
      <c r="B551" s="120" t="s">
        <v>335</v>
      </c>
      <c r="C551" s="120" t="s">
        <v>135</v>
      </c>
      <c r="D551" s="120" t="s">
        <v>136</v>
      </c>
      <c r="E551">
        <f t="shared" si="41"/>
        <v>465</v>
      </c>
      <c r="F551" s="122">
        <v>10</v>
      </c>
      <c r="G551" s="123">
        <v>10</v>
      </c>
      <c r="H551" s="543">
        <v>2201479</v>
      </c>
      <c r="I551" s="459"/>
      <c r="J551" s="543" t="s">
        <v>2557</v>
      </c>
      <c r="K551" s="543" t="s">
        <v>195</v>
      </c>
      <c r="L551" s="543" t="s">
        <v>1182</v>
      </c>
      <c r="M551" s="543" t="s">
        <v>1183</v>
      </c>
      <c r="N551" s="120" t="s">
        <v>138</v>
      </c>
      <c r="O551" s="544" t="s">
        <v>139</v>
      </c>
      <c r="P551" s="321" t="s">
        <v>122</v>
      </c>
      <c r="Q551" s="428" t="s">
        <v>2558</v>
      </c>
      <c r="R551" s="545" t="s">
        <v>513</v>
      </c>
      <c r="S551" s="429" t="s">
        <v>1816</v>
      </c>
      <c r="T551" s="615" t="s">
        <v>2555</v>
      </c>
      <c r="U551" s="545" t="s">
        <v>2559</v>
      </c>
      <c r="V551" s="545" t="s">
        <v>2560</v>
      </c>
      <c r="W551" s="619" t="s">
        <v>2561</v>
      </c>
      <c r="X551" s="616" t="s">
        <v>1445</v>
      </c>
      <c r="Y551" s="616">
        <v>833850</v>
      </c>
      <c r="Z551" s="433" t="e">
        <f t="shared" si="44"/>
        <v>#VALUE!</v>
      </c>
      <c r="AA551" s="434" t="s">
        <v>1445</v>
      </c>
      <c r="AB551" s="426"/>
      <c r="AC551" s="434" t="s">
        <v>1445</v>
      </c>
      <c r="AD551" s="582" t="s">
        <v>146</v>
      </c>
      <c r="AE551" s="582"/>
      <c r="AF551" s="582"/>
      <c r="AG551" s="321" t="s">
        <v>1636</v>
      </c>
      <c r="AH551" s="434" t="s">
        <v>1445</v>
      </c>
      <c r="AJ551" s="120"/>
      <c r="AK551" s="120" t="s">
        <v>147</v>
      </c>
      <c r="AL551" s="232" t="str">
        <f>VLOOKUP(AK551,'[3]17見直し計画'!$A$50:$AJ$584,6,0)</f>
        <v>　見直し計画策定以降の新規案件</v>
      </c>
      <c r="AM551" s="140">
        <f>VLOOKUP(AK551,'[3]17見直し計画'!$A$50:$AJ$584,8,0)</f>
        <v>0</v>
      </c>
      <c r="AN551" s="180"/>
      <c r="AO551" s="141">
        <f>VLOOKUP(AK551,'[3]17見直し計画'!$A$50:$AJ$584,11,0)</f>
        <v>0</v>
      </c>
      <c r="AP551" s="140">
        <f>VLOOKUP(AK551,'[3]17見直し計画'!$A$50:$AJ$584,12,0)</f>
        <v>0</v>
      </c>
      <c r="AQ551" s="140">
        <f>VLOOKUP(AK551,'[3]17見直し計画'!$A$50:$AJ$584,13,0)</f>
        <v>0</v>
      </c>
      <c r="AR551" s="140">
        <f>VLOOKUP(AK551,'[3]17見直し計画'!$A$50:$AJ$584,14,0)</f>
        <v>0</v>
      </c>
      <c r="AS551" s="140"/>
      <c r="AT551" s="140">
        <f>VLOOKUP(AK551,'[3]17見直し計画'!$A$50:$AJ$584,35,0)</f>
        <v>0</v>
      </c>
      <c r="AU551" s="140">
        <f>VLOOKUP(AK551,'[3]17見直し計画'!$A$50:$AJ$584,36,0)</f>
        <v>0</v>
      </c>
    </row>
    <row r="552" spans="1:47" ht="99.75" hidden="1">
      <c r="B552" s="631" t="s">
        <v>218</v>
      </c>
      <c r="C552" s="120" t="s">
        <v>135</v>
      </c>
      <c r="D552" s="120" t="s">
        <v>136</v>
      </c>
      <c r="E552">
        <f t="shared" si="41"/>
        <v>466</v>
      </c>
      <c r="F552" s="122">
        <v>11</v>
      </c>
      <c r="G552" s="123">
        <v>11</v>
      </c>
      <c r="H552" s="543">
        <v>2201491</v>
      </c>
      <c r="I552" s="424"/>
      <c r="J552" s="543" t="s">
        <v>2562</v>
      </c>
      <c r="K552" s="543" t="s">
        <v>195</v>
      </c>
      <c r="L552" s="543" t="s">
        <v>1182</v>
      </c>
      <c r="M552" s="543" t="s">
        <v>1183</v>
      </c>
      <c r="N552" s="120" t="s">
        <v>138</v>
      </c>
      <c r="O552" s="544" t="s">
        <v>139</v>
      </c>
      <c r="P552" s="321" t="s">
        <v>122</v>
      </c>
      <c r="Q552" s="428" t="s">
        <v>2563</v>
      </c>
      <c r="R552" s="545" t="s">
        <v>2564</v>
      </c>
      <c r="S552" s="429" t="s">
        <v>1816</v>
      </c>
      <c r="T552" s="615" t="s">
        <v>2565</v>
      </c>
      <c r="U552" s="545" t="s">
        <v>222</v>
      </c>
      <c r="V552" s="545" t="s">
        <v>333</v>
      </c>
      <c r="W552" s="545" t="s">
        <v>2566</v>
      </c>
      <c r="X552" s="616">
        <v>2917057</v>
      </c>
      <c r="Y552" s="616">
        <v>2917057</v>
      </c>
      <c r="Z552" s="433">
        <f t="shared" si="44"/>
        <v>1</v>
      </c>
      <c r="AA552" s="434" t="s">
        <v>1445</v>
      </c>
      <c r="AB552" s="426"/>
      <c r="AC552" s="434" t="s">
        <v>1445</v>
      </c>
      <c r="AD552" s="582" t="s">
        <v>146</v>
      </c>
      <c r="AE552" s="582"/>
      <c r="AF552" s="582"/>
      <c r="AG552" s="321" t="s">
        <v>1636</v>
      </c>
      <c r="AH552" s="434" t="s">
        <v>1445</v>
      </c>
      <c r="AJ552" s="120"/>
      <c r="AK552" s="120" t="s">
        <v>147</v>
      </c>
      <c r="AL552" s="232" t="str">
        <f>VLOOKUP(AK552,'[3]17見直し計画'!$A$50:$AJ$584,6,0)</f>
        <v>　見直し計画策定以降の新規案件</v>
      </c>
      <c r="AM552" s="140">
        <f>VLOOKUP(AK552,'[3]17見直し計画'!$A$50:$AJ$584,8,0)</f>
        <v>0</v>
      </c>
      <c r="AN552" s="180"/>
      <c r="AO552" s="141">
        <f>VLOOKUP(AK552,'[3]17見直し計画'!$A$50:$AJ$584,11,0)</f>
        <v>0</v>
      </c>
      <c r="AP552" s="140">
        <f>VLOOKUP(AK552,'[3]17見直し計画'!$A$50:$AJ$584,12,0)</f>
        <v>0</v>
      </c>
      <c r="AQ552" s="140">
        <f>VLOOKUP(AK552,'[3]17見直し計画'!$A$50:$AJ$584,13,0)</f>
        <v>0</v>
      </c>
      <c r="AR552" s="140">
        <f>VLOOKUP(AK552,'[3]17見直し計画'!$A$50:$AJ$584,14,0)</f>
        <v>0</v>
      </c>
      <c r="AS552" s="140"/>
      <c r="AT552" s="140">
        <f>VLOOKUP(AK552,'[3]17見直し計画'!$A$50:$AJ$584,35,0)</f>
        <v>0</v>
      </c>
      <c r="AU552" s="140">
        <f>VLOOKUP(AK552,'[3]17見直し計画'!$A$50:$AJ$584,36,0)</f>
        <v>0</v>
      </c>
    </row>
    <row r="553" spans="1:47" ht="142.5" hidden="1">
      <c r="B553" s="120" t="s">
        <v>134</v>
      </c>
      <c r="C553" s="120" t="s">
        <v>135</v>
      </c>
      <c r="D553" s="120" t="s">
        <v>136</v>
      </c>
      <c r="E553">
        <f t="shared" si="41"/>
        <v>467</v>
      </c>
      <c r="F553" s="122">
        <v>12</v>
      </c>
      <c r="G553" s="123">
        <v>12</v>
      </c>
      <c r="H553" s="543">
        <v>2201485</v>
      </c>
      <c r="I553" s="474"/>
      <c r="J553" s="543" t="s">
        <v>2567</v>
      </c>
      <c r="K553" s="543" t="s">
        <v>195</v>
      </c>
      <c r="L553" s="543" t="s">
        <v>1182</v>
      </c>
      <c r="M553" s="543" t="s">
        <v>2541</v>
      </c>
      <c r="N553" s="120" t="s">
        <v>138</v>
      </c>
      <c r="O553" s="544" t="s">
        <v>139</v>
      </c>
      <c r="P553" s="321" t="s">
        <v>122</v>
      </c>
      <c r="Q553" s="428" t="s">
        <v>2568</v>
      </c>
      <c r="R553" s="545" t="s">
        <v>2569</v>
      </c>
      <c r="S553" s="429" t="s">
        <v>1816</v>
      </c>
      <c r="T553" s="615" t="s">
        <v>2565</v>
      </c>
      <c r="U553" s="545" t="s">
        <v>1372</v>
      </c>
      <c r="V553" s="545" t="s">
        <v>469</v>
      </c>
      <c r="W553" s="545" t="s">
        <v>1695</v>
      </c>
      <c r="X553" s="616">
        <v>2558696</v>
      </c>
      <c r="Y553" s="616">
        <v>2558696</v>
      </c>
      <c r="Z553" s="433">
        <f t="shared" si="44"/>
        <v>1</v>
      </c>
      <c r="AA553" s="434" t="s">
        <v>1445</v>
      </c>
      <c r="AB553" s="426"/>
      <c r="AC553" s="434" t="s">
        <v>1445</v>
      </c>
      <c r="AD553" s="592" t="s">
        <v>146</v>
      </c>
      <c r="AE553" s="592"/>
      <c r="AF553" s="592"/>
      <c r="AG553" s="321" t="s">
        <v>1636</v>
      </c>
      <c r="AH553" s="434" t="s">
        <v>1445</v>
      </c>
      <c r="AJ553" s="120"/>
      <c r="AK553" s="120" t="s">
        <v>147</v>
      </c>
      <c r="AL553" s="232" t="str">
        <f>VLOOKUP(AK553,'[3]17見直し計画'!$A$50:$AJ$584,6,0)</f>
        <v>　見直し計画策定以降の新規案件</v>
      </c>
      <c r="AM553" s="140">
        <f>VLOOKUP(AK553,'[3]17見直し計画'!$A$50:$AJ$584,8,0)</f>
        <v>0</v>
      </c>
      <c r="AN553" s="180"/>
      <c r="AO553" s="141">
        <f>VLOOKUP(AK553,'[3]17見直し計画'!$A$50:$AJ$584,11,0)</f>
        <v>0</v>
      </c>
      <c r="AP553" s="140">
        <f>VLOOKUP(AK553,'[3]17見直し計画'!$A$50:$AJ$584,12,0)</f>
        <v>0</v>
      </c>
      <c r="AQ553" s="140">
        <f>VLOOKUP(AK553,'[3]17見直し計画'!$A$50:$AJ$584,13,0)</f>
        <v>0</v>
      </c>
      <c r="AR553" s="140">
        <f>VLOOKUP(AK553,'[3]17見直し計画'!$A$50:$AJ$584,14,0)</f>
        <v>0</v>
      </c>
      <c r="AS553" s="140"/>
      <c r="AT553" s="140">
        <f>VLOOKUP(AK553,'[3]17見直し計画'!$A$50:$AJ$584,35,0)</f>
        <v>0</v>
      </c>
      <c r="AU553" s="140">
        <f>VLOOKUP(AK553,'[3]17見直し計画'!$A$50:$AJ$584,36,0)</f>
        <v>0</v>
      </c>
    </row>
    <row r="554" spans="1:47" ht="142.5" hidden="1">
      <c r="B554" s="120" t="s">
        <v>134</v>
      </c>
      <c r="C554" s="120" t="s">
        <v>135</v>
      </c>
      <c r="D554" s="120" t="s">
        <v>136</v>
      </c>
      <c r="E554">
        <f t="shared" ref="E554:E617" si="45">SUM(E553+1)</f>
        <v>468</v>
      </c>
      <c r="F554" s="122">
        <v>13</v>
      </c>
      <c r="G554" s="123">
        <v>13</v>
      </c>
      <c r="H554" s="543">
        <v>2201520</v>
      </c>
      <c r="I554" s="424"/>
      <c r="J554" s="543" t="s">
        <v>2570</v>
      </c>
      <c r="K554" s="543" t="s">
        <v>195</v>
      </c>
      <c r="L554" s="543" t="s">
        <v>1182</v>
      </c>
      <c r="M554" s="543" t="s">
        <v>2541</v>
      </c>
      <c r="N554" s="120" t="s">
        <v>138</v>
      </c>
      <c r="O554" s="544" t="s">
        <v>139</v>
      </c>
      <c r="P554" s="321" t="s">
        <v>122</v>
      </c>
      <c r="Q554" s="428" t="s">
        <v>2571</v>
      </c>
      <c r="R554" s="545" t="s">
        <v>2572</v>
      </c>
      <c r="S554" s="429" t="s">
        <v>1816</v>
      </c>
      <c r="T554" s="615" t="s">
        <v>2573</v>
      </c>
      <c r="U554" s="545" t="s">
        <v>222</v>
      </c>
      <c r="V554" s="545" t="s">
        <v>333</v>
      </c>
      <c r="W554" s="545" t="s">
        <v>1695</v>
      </c>
      <c r="X554" s="616">
        <v>10296300</v>
      </c>
      <c r="Y554" s="616">
        <v>10296300</v>
      </c>
      <c r="Z554" s="433">
        <f t="shared" si="44"/>
        <v>1</v>
      </c>
      <c r="AA554" s="434" t="s">
        <v>1445</v>
      </c>
      <c r="AB554" s="426"/>
      <c r="AC554" s="434" t="s">
        <v>1445</v>
      </c>
      <c r="AD554" s="582" t="s">
        <v>146</v>
      </c>
      <c r="AE554" s="582"/>
      <c r="AF554" s="582"/>
      <c r="AG554" s="321" t="s">
        <v>1636</v>
      </c>
      <c r="AH554" s="434" t="s">
        <v>1445</v>
      </c>
      <c r="AJ554" s="120"/>
      <c r="AK554" s="120" t="s">
        <v>147</v>
      </c>
      <c r="AL554" s="232" t="str">
        <f>VLOOKUP(AK554,'[3]17見直し計画'!$A$50:$AJ$584,6,0)</f>
        <v>　見直し計画策定以降の新規案件</v>
      </c>
      <c r="AM554" s="140">
        <f>VLOOKUP(AK554,'[3]17見直し計画'!$A$50:$AJ$584,8,0)</f>
        <v>0</v>
      </c>
      <c r="AN554" s="180"/>
      <c r="AO554" s="141">
        <f>VLOOKUP(AK554,'[3]17見直し計画'!$A$50:$AJ$584,11,0)</f>
        <v>0</v>
      </c>
      <c r="AP554" s="140">
        <f>VLOOKUP(AK554,'[3]17見直し計画'!$A$50:$AJ$584,12,0)</f>
        <v>0</v>
      </c>
      <c r="AQ554" s="140">
        <f>VLOOKUP(AK554,'[3]17見直し計画'!$A$50:$AJ$584,13,0)</f>
        <v>0</v>
      </c>
      <c r="AR554" s="140">
        <f>VLOOKUP(AK554,'[3]17見直し計画'!$A$50:$AJ$584,14,0)</f>
        <v>0</v>
      </c>
      <c r="AS554" s="140"/>
      <c r="AT554" s="140">
        <f>VLOOKUP(AK554,'[3]17見直し計画'!$A$50:$AJ$584,35,0)</f>
        <v>0</v>
      </c>
      <c r="AU554" s="140">
        <f>VLOOKUP(AK554,'[3]17見直し計画'!$A$50:$AJ$584,36,0)</f>
        <v>0</v>
      </c>
    </row>
    <row r="555" spans="1:47" ht="142.5" hidden="1">
      <c r="B555" s="120" t="s">
        <v>134</v>
      </c>
      <c r="C555" s="120" t="s">
        <v>135</v>
      </c>
      <c r="D555" s="120" t="s">
        <v>136</v>
      </c>
      <c r="E555">
        <f t="shared" si="45"/>
        <v>469</v>
      </c>
      <c r="F555" s="122">
        <v>14</v>
      </c>
      <c r="G555" s="123">
        <v>14</v>
      </c>
      <c r="H555" s="543">
        <v>2201496</v>
      </c>
      <c r="I555" s="424"/>
      <c r="J555" s="543" t="s">
        <v>2574</v>
      </c>
      <c r="K555" s="543" t="s">
        <v>286</v>
      </c>
      <c r="L555" s="543" t="s">
        <v>1182</v>
      </c>
      <c r="M555" s="543" t="s">
        <v>1183</v>
      </c>
      <c r="N555" s="120" t="s">
        <v>138</v>
      </c>
      <c r="O555" s="544" t="s">
        <v>139</v>
      </c>
      <c r="P555" s="321" t="s">
        <v>122</v>
      </c>
      <c r="Q555" s="428" t="s">
        <v>2575</v>
      </c>
      <c r="R555" s="545" t="s">
        <v>2576</v>
      </c>
      <c r="S555" s="429" t="s">
        <v>1816</v>
      </c>
      <c r="T555" s="615" t="s">
        <v>2573</v>
      </c>
      <c r="U555" s="545" t="s">
        <v>622</v>
      </c>
      <c r="V555" s="545" t="s">
        <v>623</v>
      </c>
      <c r="W555" s="545" t="s">
        <v>1695</v>
      </c>
      <c r="X555" s="616">
        <v>8905050</v>
      </c>
      <c r="Y555" s="616">
        <v>8905050</v>
      </c>
      <c r="Z555" s="433">
        <f t="shared" si="44"/>
        <v>1</v>
      </c>
      <c r="AA555" s="434" t="s">
        <v>1445</v>
      </c>
      <c r="AB555" s="426"/>
      <c r="AC555" s="434" t="s">
        <v>1445</v>
      </c>
      <c r="AD555" s="582" t="s">
        <v>146</v>
      </c>
      <c r="AE555" s="582"/>
      <c r="AF555" s="582"/>
      <c r="AG555" s="321" t="s">
        <v>1636</v>
      </c>
      <c r="AH555" s="434" t="s">
        <v>1445</v>
      </c>
      <c r="AJ555" s="120"/>
      <c r="AK555" s="120" t="s">
        <v>2577</v>
      </c>
      <c r="AL555" s="232" t="str">
        <f>VLOOKUP(AK555,'[3]17見直し計画'!$A$50:$AJ$584,6,0)</f>
        <v>株式会社リコー</v>
      </c>
      <c r="AM555" s="140" t="str">
        <f>VLOOKUP(AK555,'[3]17見直し計画'!$A$50:$AJ$584,8,0)</f>
        <v>「旅費ネットワークシステム改修」業務委嘱</v>
      </c>
      <c r="AN555" s="180">
        <f>VLOOKUP(AK555,'[3]17見直し計画'!$A$50:$AJ$584,10,0)</f>
        <v>38758</v>
      </c>
      <c r="AO555" s="141">
        <f>VLOOKUP(AK555,'[3]17見直し計画'!$A$50:$AJ$584,11,0)</f>
        <v>9906750</v>
      </c>
      <c r="AP555" s="140" t="str">
        <f>VLOOKUP(AK555,'[3]17見直し計画'!$A$50:$AJ$584,12,0)</f>
        <v>システムの開発業者が、自社製品やカスタマイズされた独自の機器、システムを使用しているため、その保守・運用・改修等を行えるのは当該業者以外になく、他に競争を許さない（会計法第２９条の３第４項）。</v>
      </c>
      <c r="AQ555" s="140" t="str">
        <f>VLOOKUP(AK555,'[3]17見直し計画'!$A$50:$AJ$584,13,0)</f>
        <v>見直しの余地があるもの</v>
      </c>
      <c r="AR555" s="140" t="str">
        <f>VLOOKUP(AK555,'[3]17見直し計画'!$A$50:$AJ$584,14,0)</f>
        <v>１８年度以降において当該事務・事業の委託等を行う予定のないもの</v>
      </c>
      <c r="AS555" s="140"/>
      <c r="AT555" s="140">
        <f>VLOOKUP(AK555,'[3]17見直し計画'!$A$50:$AJ$584,35,0)</f>
        <v>0</v>
      </c>
      <c r="AU555" s="140">
        <f>VLOOKUP(AK555,'[3]17見直し計画'!$A$50:$AJ$584,36,0)</f>
        <v>0</v>
      </c>
    </row>
    <row r="556" spans="1:47" ht="71.25" hidden="1">
      <c r="B556" s="631" t="s">
        <v>218</v>
      </c>
      <c r="C556" s="120" t="s">
        <v>135</v>
      </c>
      <c r="D556" s="120" t="s">
        <v>136</v>
      </c>
      <c r="E556">
        <f t="shared" si="45"/>
        <v>470</v>
      </c>
      <c r="F556" s="122">
        <v>15</v>
      </c>
      <c r="G556" s="123">
        <v>15</v>
      </c>
      <c r="H556" s="543">
        <v>2201509</v>
      </c>
      <c r="I556" s="424"/>
      <c r="J556" s="543" t="s">
        <v>2578</v>
      </c>
      <c r="K556" s="543" t="s">
        <v>353</v>
      </c>
      <c r="L556" s="543" t="s">
        <v>1163</v>
      </c>
      <c r="M556" s="543" t="s">
        <v>1456</v>
      </c>
      <c r="N556" s="120" t="s">
        <v>138</v>
      </c>
      <c r="O556" s="544" t="s">
        <v>139</v>
      </c>
      <c r="P556" s="321" t="s">
        <v>122</v>
      </c>
      <c r="Q556" s="428" t="s">
        <v>2579</v>
      </c>
      <c r="R556" s="545" t="s">
        <v>2580</v>
      </c>
      <c r="S556" s="429" t="s">
        <v>1816</v>
      </c>
      <c r="T556" s="615" t="s">
        <v>2573</v>
      </c>
      <c r="U556" s="545" t="s">
        <v>2581</v>
      </c>
      <c r="V556" s="545" t="s">
        <v>781</v>
      </c>
      <c r="W556" s="545" t="s">
        <v>2582</v>
      </c>
      <c r="X556" s="616">
        <v>2231250</v>
      </c>
      <c r="Y556" s="616">
        <v>2231250</v>
      </c>
      <c r="Z556" s="433">
        <f t="shared" si="44"/>
        <v>1</v>
      </c>
      <c r="AA556" s="434" t="s">
        <v>1445</v>
      </c>
      <c r="AB556" s="426"/>
      <c r="AC556" s="434" t="s">
        <v>1445</v>
      </c>
      <c r="AD556" s="582" t="s">
        <v>146</v>
      </c>
      <c r="AE556" s="582"/>
      <c r="AF556" s="582"/>
      <c r="AG556" s="321" t="s">
        <v>1636</v>
      </c>
      <c r="AH556" s="434" t="s">
        <v>1445</v>
      </c>
      <c r="AJ556" s="120"/>
      <c r="AK556" s="120" t="s">
        <v>147</v>
      </c>
      <c r="AL556" s="232" t="str">
        <f>VLOOKUP(AK556,'[3]17見直し計画'!$A$50:$AJ$584,6,0)</f>
        <v>　見直し計画策定以降の新規案件</v>
      </c>
      <c r="AM556" s="140">
        <f>VLOOKUP(AK556,'[3]17見直し計画'!$A$50:$AJ$584,8,0)</f>
        <v>0</v>
      </c>
      <c r="AN556" s="180"/>
      <c r="AO556" s="141">
        <f>VLOOKUP(AK556,'[3]17見直し計画'!$A$50:$AJ$584,11,0)</f>
        <v>0</v>
      </c>
      <c r="AP556" s="140">
        <f>VLOOKUP(AK556,'[3]17見直し計画'!$A$50:$AJ$584,12,0)</f>
        <v>0</v>
      </c>
      <c r="AQ556" s="140">
        <f>VLOOKUP(AK556,'[3]17見直し計画'!$A$50:$AJ$584,13,0)</f>
        <v>0</v>
      </c>
      <c r="AR556" s="140">
        <f>VLOOKUP(AK556,'[3]17見直し計画'!$A$50:$AJ$584,14,0)</f>
        <v>0</v>
      </c>
      <c r="AS556" s="140"/>
      <c r="AT556" s="140">
        <f>VLOOKUP(AK556,'[3]17見直し計画'!$A$50:$AJ$584,35,0)</f>
        <v>0</v>
      </c>
      <c r="AU556" s="140">
        <f>VLOOKUP(AK556,'[3]17見直し計画'!$A$50:$AJ$584,36,0)</f>
        <v>0</v>
      </c>
    </row>
    <row r="557" spans="1:47" ht="142.5" hidden="1">
      <c r="B557" s="120" t="s">
        <v>134</v>
      </c>
      <c r="C557" s="120" t="s">
        <v>135</v>
      </c>
      <c r="D557" s="120" t="s">
        <v>136</v>
      </c>
      <c r="E557">
        <f t="shared" si="45"/>
        <v>471</v>
      </c>
      <c r="F557" s="122">
        <v>16</v>
      </c>
      <c r="G557" s="123">
        <v>16</v>
      </c>
      <c r="H557" s="543">
        <v>2201499</v>
      </c>
      <c r="I557" s="424"/>
      <c r="J557" s="543" t="s">
        <v>2583</v>
      </c>
      <c r="K557" s="543" t="s">
        <v>195</v>
      </c>
      <c r="L557" s="543" t="s">
        <v>1182</v>
      </c>
      <c r="M557" s="543" t="s">
        <v>2541</v>
      </c>
      <c r="N557" s="120" t="s">
        <v>138</v>
      </c>
      <c r="O557" s="544" t="s">
        <v>139</v>
      </c>
      <c r="P557" s="321" t="s">
        <v>122</v>
      </c>
      <c r="Q557" s="428" t="s">
        <v>2584</v>
      </c>
      <c r="R557" s="545" t="s">
        <v>2585</v>
      </c>
      <c r="S557" s="429" t="s">
        <v>1816</v>
      </c>
      <c r="T557" s="615" t="s">
        <v>2573</v>
      </c>
      <c r="U557" s="545" t="s">
        <v>222</v>
      </c>
      <c r="V557" s="545" t="s">
        <v>333</v>
      </c>
      <c r="W557" s="545" t="s">
        <v>1695</v>
      </c>
      <c r="X557" s="616">
        <v>2039100</v>
      </c>
      <c r="Y557" s="616">
        <v>2039100</v>
      </c>
      <c r="Z557" s="433">
        <f t="shared" si="44"/>
        <v>1</v>
      </c>
      <c r="AA557" s="434" t="s">
        <v>1445</v>
      </c>
      <c r="AB557" s="426"/>
      <c r="AC557" s="434" t="s">
        <v>1445</v>
      </c>
      <c r="AD557" s="582" t="s">
        <v>146</v>
      </c>
      <c r="AE557" s="582"/>
      <c r="AF557" s="582"/>
      <c r="AG557" s="321" t="s">
        <v>1636</v>
      </c>
      <c r="AH557" s="434" t="s">
        <v>1445</v>
      </c>
      <c r="AJ557" s="120"/>
      <c r="AK557" s="120" t="s">
        <v>147</v>
      </c>
      <c r="AL557" s="232" t="str">
        <f>VLOOKUP(AK557,'[3]17見直し計画'!$A$50:$AJ$584,6,0)</f>
        <v>　見直し計画策定以降の新規案件</v>
      </c>
      <c r="AM557" s="140">
        <f>VLOOKUP(AK557,'[3]17見直し計画'!$A$50:$AJ$584,8,0)</f>
        <v>0</v>
      </c>
      <c r="AN557" s="180"/>
      <c r="AO557" s="141">
        <f>VLOOKUP(AK557,'[3]17見直し計画'!$A$50:$AJ$584,11,0)</f>
        <v>0</v>
      </c>
      <c r="AP557" s="140">
        <f>VLOOKUP(AK557,'[3]17見直し計画'!$A$50:$AJ$584,12,0)</f>
        <v>0</v>
      </c>
      <c r="AQ557" s="140">
        <f>VLOOKUP(AK557,'[3]17見直し計画'!$A$50:$AJ$584,13,0)</f>
        <v>0</v>
      </c>
      <c r="AR557" s="140">
        <f>VLOOKUP(AK557,'[3]17見直し計画'!$A$50:$AJ$584,14,0)</f>
        <v>0</v>
      </c>
      <c r="AS557" s="140"/>
      <c r="AT557" s="140">
        <f>VLOOKUP(AK557,'[3]17見直し計画'!$A$50:$AJ$584,35,0)</f>
        <v>0</v>
      </c>
      <c r="AU557" s="140">
        <f>VLOOKUP(AK557,'[3]17見直し計画'!$A$50:$AJ$584,36,0)</f>
        <v>0</v>
      </c>
    </row>
    <row r="558" spans="1:47" ht="71.25" hidden="1">
      <c r="B558" s="631" t="s">
        <v>218</v>
      </c>
      <c r="C558" s="120" t="s">
        <v>135</v>
      </c>
      <c r="D558" s="120" t="s">
        <v>136</v>
      </c>
      <c r="E558">
        <f t="shared" si="45"/>
        <v>472</v>
      </c>
      <c r="F558" s="122">
        <v>17</v>
      </c>
      <c r="G558" s="123">
        <v>17</v>
      </c>
      <c r="H558" s="543">
        <v>2201518</v>
      </c>
      <c r="I558" s="424"/>
      <c r="J558" s="543" t="s">
        <v>2586</v>
      </c>
      <c r="K558" s="543" t="s">
        <v>1112</v>
      </c>
      <c r="L558" s="543" t="s">
        <v>1190</v>
      </c>
      <c r="M558" s="543" t="s">
        <v>2078</v>
      </c>
      <c r="N558" s="120" t="s">
        <v>138</v>
      </c>
      <c r="O558" s="544" t="s">
        <v>139</v>
      </c>
      <c r="P558" s="321" t="s">
        <v>122</v>
      </c>
      <c r="Q558" s="428" t="s">
        <v>2587</v>
      </c>
      <c r="R558" s="545" t="s">
        <v>2588</v>
      </c>
      <c r="S558" s="429" t="s">
        <v>1816</v>
      </c>
      <c r="T558" s="615" t="s">
        <v>2573</v>
      </c>
      <c r="U558" s="545" t="s">
        <v>2589</v>
      </c>
      <c r="V558" s="545" t="s">
        <v>2590</v>
      </c>
      <c r="W558" s="545" t="s">
        <v>2582</v>
      </c>
      <c r="X558" s="616">
        <v>1995000</v>
      </c>
      <c r="Y558" s="616">
        <v>1995000</v>
      </c>
      <c r="Z558" s="433">
        <f t="shared" si="44"/>
        <v>1</v>
      </c>
      <c r="AA558" s="434" t="s">
        <v>1445</v>
      </c>
      <c r="AB558" s="426"/>
      <c r="AC558" s="434" t="s">
        <v>1445</v>
      </c>
      <c r="AD558" s="582" t="s">
        <v>146</v>
      </c>
      <c r="AE558" s="582"/>
      <c r="AF558" s="582"/>
      <c r="AG558" s="321" t="s">
        <v>1636</v>
      </c>
      <c r="AH558" s="434" t="s">
        <v>1445</v>
      </c>
      <c r="AJ558" s="120"/>
      <c r="AK558" s="120" t="s">
        <v>147</v>
      </c>
      <c r="AL558" s="232" t="str">
        <f>VLOOKUP(AK558,'[3]17見直し計画'!$A$50:$AJ$584,6,0)</f>
        <v>　見直し計画策定以降の新規案件</v>
      </c>
      <c r="AM558" s="140">
        <f>VLOOKUP(AK558,'[3]17見直し計画'!$A$50:$AJ$584,8,0)</f>
        <v>0</v>
      </c>
      <c r="AN558" s="180"/>
      <c r="AO558" s="141">
        <f>VLOOKUP(AK558,'[3]17見直し計画'!$A$50:$AJ$584,11,0)</f>
        <v>0</v>
      </c>
      <c r="AP558" s="140">
        <f>VLOOKUP(AK558,'[3]17見直し計画'!$A$50:$AJ$584,12,0)</f>
        <v>0</v>
      </c>
      <c r="AQ558" s="140">
        <f>VLOOKUP(AK558,'[3]17見直し計画'!$A$50:$AJ$584,13,0)</f>
        <v>0</v>
      </c>
      <c r="AR558" s="140">
        <f>VLOOKUP(AK558,'[3]17見直し計画'!$A$50:$AJ$584,14,0)</f>
        <v>0</v>
      </c>
      <c r="AS558" s="140"/>
      <c r="AT558" s="140">
        <f>VLOOKUP(AK558,'[3]17見直し計画'!$A$50:$AJ$584,35,0)</f>
        <v>0</v>
      </c>
      <c r="AU558" s="140">
        <f>VLOOKUP(AK558,'[3]17見直し計画'!$A$50:$AJ$584,36,0)</f>
        <v>0</v>
      </c>
    </row>
    <row r="559" spans="1:47" ht="84" hidden="1">
      <c r="A559" t="s">
        <v>2279</v>
      </c>
      <c r="B559" s="120"/>
      <c r="C559" s="120"/>
      <c r="D559" s="120" t="s">
        <v>305</v>
      </c>
      <c r="E559">
        <f t="shared" si="45"/>
        <v>473</v>
      </c>
      <c r="F559" s="122">
        <v>18</v>
      </c>
      <c r="G559" s="123">
        <v>18</v>
      </c>
      <c r="H559" s="543">
        <v>2201513</v>
      </c>
      <c r="I559" s="424"/>
      <c r="J559" s="543" t="s">
        <v>2591</v>
      </c>
      <c r="K559" s="543" t="s">
        <v>2077</v>
      </c>
      <c r="L559" s="543" t="s">
        <v>1190</v>
      </c>
      <c r="M559" s="543" t="s">
        <v>1448</v>
      </c>
      <c r="N559" s="120" t="s">
        <v>120</v>
      </c>
      <c r="O559" s="544" t="s">
        <v>121</v>
      </c>
      <c r="P559" s="413" t="s">
        <v>122</v>
      </c>
      <c r="Q559" s="428" t="s">
        <v>2592</v>
      </c>
      <c r="R559" s="545" t="s">
        <v>2593</v>
      </c>
      <c r="S559" s="429" t="s">
        <v>1816</v>
      </c>
      <c r="T559" s="615" t="s">
        <v>2594</v>
      </c>
      <c r="U559" s="545" t="s">
        <v>2595</v>
      </c>
      <c r="V559" s="545" t="s">
        <v>1642</v>
      </c>
      <c r="W559" s="601" t="s">
        <v>2596</v>
      </c>
      <c r="X559" s="616">
        <v>8431710</v>
      </c>
      <c r="Y559" s="616">
        <v>8399721</v>
      </c>
      <c r="Z559" s="433">
        <f t="shared" si="44"/>
        <v>0.996</v>
      </c>
      <c r="AA559" s="434">
        <v>0</v>
      </c>
      <c r="AB559" s="426"/>
      <c r="AC559" s="434" t="s">
        <v>1445</v>
      </c>
      <c r="AD559" s="582" t="s">
        <v>130</v>
      </c>
      <c r="AE559" s="582"/>
      <c r="AF559" s="582"/>
      <c r="AG559" s="321" t="s">
        <v>1636</v>
      </c>
      <c r="AH559" s="434" t="s">
        <v>1445</v>
      </c>
      <c r="AJ559" s="120"/>
      <c r="AK559" s="120" t="s">
        <v>2597</v>
      </c>
      <c r="AL559" s="232" t="str">
        <f>VLOOKUP(AK559,'[3]17見直し計画'!$A$50:$AJ$584,6,0)</f>
        <v>財団法人
日本国際交流センター</v>
      </c>
      <c r="AM559" s="140" t="str">
        <f>VLOOKUP(AK559,'[3]17見直し計画'!$A$50:$AJ$584,8,0)</f>
        <v>日豪若手政治家交流計画招聘</v>
      </c>
      <c r="AN559" s="180" t="str">
        <f>VLOOKUP(AK559,'[3]17見直し計画'!$A$50:$AJ$584,10,0)</f>
        <v>平成18/02/18</v>
      </c>
      <c r="AO559" s="141">
        <f>VLOOKUP(AK559,'[3]17見直し計画'!$A$50:$AJ$584,11,0)</f>
        <v>7837972</v>
      </c>
      <c r="AP559" s="140" t="str">
        <f>VLOOKUP(AK559,'[3]17見直し計画'!$A$50:$AJ$584,12,0)</f>
        <v>本件プログラムの立ち上げに当たっては計画段階より同センターが日本側当事者の一員として主体的に個別招聘計画を行うなど、事業の実施に深く関わっている。また、豪州側の実施主体である豪州政治交流委員会とも緊密な協力関係を維持しており、本件業務の委託先として最適である（会計法第２９条の３第４項）。</v>
      </c>
      <c r="AQ559" s="140" t="str">
        <f>VLOOKUP(AK559,'[3]17見直し計画'!$A$50:$AJ$584,13,0)</f>
        <v>見直しの余地があるもの</v>
      </c>
      <c r="AR559" s="140" t="str">
        <f>VLOOKUP(AK559,'[3]17見直し計画'!$A$50:$AJ$584,14,0)</f>
        <v>一般競争入札等に移行するための準備に時間を要するもの（１９年度以降において公募実施）</v>
      </c>
      <c r="AS559" s="140"/>
      <c r="AT559" s="140">
        <f>VLOOKUP(AK559,'[3]17見直し計画'!$A$50:$AJ$584,35,0)</f>
        <v>0</v>
      </c>
      <c r="AU559" s="140">
        <f>VLOOKUP(AK559,'[3]17見直し計画'!$A$50:$AJ$584,36,0)</f>
        <v>0</v>
      </c>
    </row>
    <row r="560" spans="1:47" ht="185.25" hidden="1">
      <c r="B560" s="590" t="s">
        <v>284</v>
      </c>
      <c r="C560" s="178" t="s">
        <v>135</v>
      </c>
      <c r="D560" s="143" t="s">
        <v>136</v>
      </c>
      <c r="E560">
        <f t="shared" si="45"/>
        <v>474</v>
      </c>
      <c r="F560" s="122">
        <v>19</v>
      </c>
      <c r="G560" s="123">
        <v>19</v>
      </c>
      <c r="H560" s="543">
        <v>2201521</v>
      </c>
      <c r="I560" s="424"/>
      <c r="J560" s="543" t="s">
        <v>2598</v>
      </c>
      <c r="K560" s="543" t="s">
        <v>2599</v>
      </c>
      <c r="L560" s="543" t="s">
        <v>1163</v>
      </c>
      <c r="M560" s="543" t="s">
        <v>2477</v>
      </c>
      <c r="N560" s="120" t="s">
        <v>138</v>
      </c>
      <c r="O560" s="544" t="s">
        <v>139</v>
      </c>
      <c r="P560" s="321" t="s">
        <v>122</v>
      </c>
      <c r="Q560" s="428" t="s">
        <v>2600</v>
      </c>
      <c r="R560" s="545" t="s">
        <v>2601</v>
      </c>
      <c r="S560" s="429" t="s">
        <v>1816</v>
      </c>
      <c r="T560" s="615" t="s">
        <v>2594</v>
      </c>
      <c r="U560" s="545" t="s">
        <v>1232</v>
      </c>
      <c r="V560" s="545" t="s">
        <v>1233</v>
      </c>
      <c r="W560" s="545" t="s">
        <v>2602</v>
      </c>
      <c r="X560" s="616">
        <v>1459831</v>
      </c>
      <c r="Y560" s="616">
        <v>1459831</v>
      </c>
      <c r="Z560" s="433">
        <f t="shared" si="44"/>
        <v>1</v>
      </c>
      <c r="AA560" s="434" t="s">
        <v>1445</v>
      </c>
      <c r="AB560" s="426"/>
      <c r="AC560" s="434" t="s">
        <v>1445</v>
      </c>
      <c r="AD560" s="582" t="s">
        <v>146</v>
      </c>
      <c r="AE560" s="582"/>
      <c r="AF560" s="582"/>
      <c r="AG560" s="321" t="s">
        <v>1636</v>
      </c>
      <c r="AH560" s="434" t="s">
        <v>1445</v>
      </c>
      <c r="AJ560" s="120"/>
      <c r="AK560" s="120" t="s">
        <v>147</v>
      </c>
      <c r="AL560" s="232" t="str">
        <f>VLOOKUP(AK560,'[3]17見直し計画'!$A$50:$AJ$584,6,0)</f>
        <v>　見直し計画策定以降の新規案件</v>
      </c>
      <c r="AM560" s="140">
        <f>VLOOKUP(AK560,'[3]17見直し計画'!$A$50:$AJ$584,8,0)</f>
        <v>0</v>
      </c>
      <c r="AN560" s="180"/>
      <c r="AO560" s="141">
        <f>VLOOKUP(AK560,'[3]17見直し計画'!$A$50:$AJ$584,11,0)</f>
        <v>0</v>
      </c>
      <c r="AP560" s="140">
        <f>VLOOKUP(AK560,'[3]17見直し計画'!$A$50:$AJ$584,12,0)</f>
        <v>0</v>
      </c>
      <c r="AQ560" s="140">
        <f>VLOOKUP(AK560,'[3]17見直し計画'!$A$50:$AJ$584,13,0)</f>
        <v>0</v>
      </c>
      <c r="AR560" s="140">
        <f>VLOOKUP(AK560,'[3]17見直し計画'!$A$50:$AJ$584,14,0)</f>
        <v>0</v>
      </c>
      <c r="AS560" s="140"/>
      <c r="AT560" s="140">
        <f>VLOOKUP(AK560,'[3]17見直し計画'!$A$50:$AJ$584,35,0)</f>
        <v>0</v>
      </c>
      <c r="AU560" s="140">
        <f>VLOOKUP(AK560,'[3]17見直し計画'!$A$50:$AJ$584,36,0)</f>
        <v>0</v>
      </c>
    </row>
    <row r="561" spans="1:47" ht="85.5" hidden="1">
      <c r="B561" s="631" t="s">
        <v>218</v>
      </c>
      <c r="C561" s="120" t="s">
        <v>135</v>
      </c>
      <c r="D561" s="120" t="s">
        <v>136</v>
      </c>
      <c r="E561">
        <f t="shared" si="45"/>
        <v>475</v>
      </c>
      <c r="F561" s="122">
        <v>20</v>
      </c>
      <c r="G561" s="123">
        <v>20</v>
      </c>
      <c r="H561" s="625">
        <v>2201522</v>
      </c>
      <c r="I561" s="424"/>
      <c r="J561" s="626" t="s">
        <v>2603</v>
      </c>
      <c r="K561" s="627" t="s">
        <v>207</v>
      </c>
      <c r="L561" s="627" t="s">
        <v>1163</v>
      </c>
      <c r="M561" s="627" t="s">
        <v>1456</v>
      </c>
      <c r="N561" s="120" t="s">
        <v>138</v>
      </c>
      <c r="O561" s="544" t="s">
        <v>139</v>
      </c>
      <c r="P561" s="321" t="s">
        <v>122</v>
      </c>
      <c r="Q561" s="428" t="s">
        <v>2604</v>
      </c>
      <c r="R561" s="545" t="s">
        <v>2605</v>
      </c>
      <c r="S561" s="429" t="s">
        <v>1816</v>
      </c>
      <c r="T561" s="615" t="s">
        <v>2606</v>
      </c>
      <c r="U561" s="545" t="s">
        <v>2607</v>
      </c>
      <c r="V561" s="545" t="s">
        <v>2608</v>
      </c>
      <c r="W561" s="545" t="s">
        <v>2609</v>
      </c>
      <c r="X561" s="616">
        <v>3635100</v>
      </c>
      <c r="Y561" s="616">
        <v>3635100</v>
      </c>
      <c r="Z561" s="433">
        <f t="shared" si="44"/>
        <v>1</v>
      </c>
      <c r="AA561" s="434" t="s">
        <v>1445</v>
      </c>
      <c r="AB561" s="426"/>
      <c r="AC561" s="434" t="s">
        <v>1445</v>
      </c>
      <c r="AD561" s="582" t="s">
        <v>146</v>
      </c>
      <c r="AE561" s="582"/>
      <c r="AF561" s="582"/>
      <c r="AG561" s="321" t="s">
        <v>1636</v>
      </c>
      <c r="AH561" s="434" t="s">
        <v>1445</v>
      </c>
      <c r="AJ561" s="120"/>
      <c r="AK561" s="120" t="s">
        <v>147</v>
      </c>
      <c r="AL561" s="232" t="str">
        <f>VLOOKUP(AK561,'[3]17見直し計画'!$A$50:$AJ$584,6,0)</f>
        <v>　見直し計画策定以降の新規案件</v>
      </c>
      <c r="AM561" s="140">
        <f>VLOOKUP(AK561,'[3]17見直し計画'!$A$50:$AJ$584,8,0)</f>
        <v>0</v>
      </c>
      <c r="AN561" s="180"/>
      <c r="AO561" s="141">
        <f>VLOOKUP(AK561,'[3]17見直し計画'!$A$50:$AJ$584,11,0)</f>
        <v>0</v>
      </c>
      <c r="AP561" s="140">
        <f>VLOOKUP(AK561,'[3]17見直し計画'!$A$50:$AJ$584,12,0)</f>
        <v>0</v>
      </c>
      <c r="AQ561" s="140">
        <f>VLOOKUP(AK561,'[3]17見直し計画'!$A$50:$AJ$584,13,0)</f>
        <v>0</v>
      </c>
      <c r="AR561" s="140">
        <f>VLOOKUP(AK561,'[3]17見直し計画'!$A$50:$AJ$584,14,0)</f>
        <v>0</v>
      </c>
      <c r="AS561" s="140"/>
      <c r="AT561" s="140">
        <f>VLOOKUP(AK561,'[3]17見直し計画'!$A$50:$AJ$584,35,0)</f>
        <v>0</v>
      </c>
      <c r="AU561" s="140">
        <f>VLOOKUP(AK561,'[3]17見直し計画'!$A$50:$AJ$584,36,0)</f>
        <v>0</v>
      </c>
    </row>
    <row r="562" spans="1:47" ht="99.75" hidden="1">
      <c r="B562" s="182"/>
      <c r="C562" s="182"/>
      <c r="D562" s="223" t="s">
        <v>421</v>
      </c>
      <c r="E562">
        <f t="shared" si="45"/>
        <v>476</v>
      </c>
      <c r="F562" s="185">
        <v>21</v>
      </c>
      <c r="G562" s="186">
        <v>21</v>
      </c>
      <c r="H562" s="610">
        <v>2201539</v>
      </c>
      <c r="I562" s="441"/>
      <c r="J562" s="610" t="s">
        <v>2610</v>
      </c>
      <c r="K562" s="610" t="s">
        <v>258</v>
      </c>
      <c r="L562" s="610" t="s">
        <v>1163</v>
      </c>
      <c r="M562" s="610" t="s">
        <v>1761</v>
      </c>
      <c r="N562" s="182" t="s">
        <v>230</v>
      </c>
      <c r="O562" s="550" t="s">
        <v>139</v>
      </c>
      <c r="P562" s="328" t="s">
        <v>2251</v>
      </c>
      <c r="Q562" s="444" t="s">
        <v>2611</v>
      </c>
      <c r="R562" s="442" t="s">
        <v>2612</v>
      </c>
      <c r="S562" s="445" t="s">
        <v>1816</v>
      </c>
      <c r="T562" s="612" t="s">
        <v>2613</v>
      </c>
      <c r="U562" s="442" t="s">
        <v>2614</v>
      </c>
      <c r="V562" s="442" t="s">
        <v>1739</v>
      </c>
      <c r="W562" s="442" t="s">
        <v>1747</v>
      </c>
      <c r="X562" s="613">
        <v>69300000</v>
      </c>
      <c r="Y562" s="613">
        <v>61089000</v>
      </c>
      <c r="Z562" s="448">
        <f t="shared" si="44"/>
        <v>0.88100000000000001</v>
      </c>
      <c r="AA562" s="527" t="s">
        <v>1445</v>
      </c>
      <c r="AB562" s="442"/>
      <c r="AC562" s="630">
        <v>5</v>
      </c>
      <c r="AD562" s="599" t="s">
        <v>237</v>
      </c>
      <c r="AE562" s="599"/>
      <c r="AF562" s="599"/>
      <c r="AG562" s="328" t="s">
        <v>1636</v>
      </c>
      <c r="AH562" s="630">
        <v>5</v>
      </c>
      <c r="AI562" s="184"/>
      <c r="AJ562" s="182"/>
      <c r="AK562" s="182" t="s">
        <v>147</v>
      </c>
      <c r="AL562" s="231" t="str">
        <f>VLOOKUP(AK562,'[3]17見直し計画'!$A$50:$AJ$584,6,0)</f>
        <v>　見直し計画策定以降の新規案件</v>
      </c>
      <c r="AM562" s="204">
        <f>VLOOKUP(AK562,'[3]17見直し計画'!$A$50:$AJ$584,8,0)</f>
        <v>0</v>
      </c>
      <c r="AN562" s="224"/>
      <c r="AO562" s="205">
        <f>VLOOKUP(AK562,'[3]17見直し計画'!$A$50:$AJ$584,11,0)</f>
        <v>0</v>
      </c>
      <c r="AP562" s="204">
        <f>VLOOKUP(AK562,'[3]17見直し計画'!$A$50:$AJ$584,12,0)</f>
        <v>0</v>
      </c>
      <c r="AQ562" s="204">
        <f>VLOOKUP(AK562,'[3]17見直し計画'!$A$50:$AJ$584,13,0)</f>
        <v>0</v>
      </c>
      <c r="AR562" s="204">
        <f>VLOOKUP(AK562,'[3]17見直し計画'!$A$50:$AJ$584,14,0)</f>
        <v>0</v>
      </c>
      <c r="AS562" s="204"/>
      <c r="AT562" s="204">
        <f>VLOOKUP(AK562,'[3]17見直し計画'!$A$50:$AJ$584,35,0)</f>
        <v>0</v>
      </c>
      <c r="AU562" s="204">
        <f>VLOOKUP(AK562,'[3]17見直し計画'!$A$50:$AJ$584,36,0)</f>
        <v>0</v>
      </c>
    </row>
    <row r="563" spans="1:47" ht="99.75" hidden="1">
      <c r="B563" s="182"/>
      <c r="C563" s="182"/>
      <c r="D563" s="223" t="s">
        <v>421</v>
      </c>
      <c r="E563">
        <f t="shared" si="45"/>
        <v>477</v>
      </c>
      <c r="F563" s="185">
        <v>22</v>
      </c>
      <c r="G563" s="186">
        <v>22</v>
      </c>
      <c r="H563" s="610">
        <v>2201592</v>
      </c>
      <c r="I563" s="508"/>
      <c r="J563" s="610" t="s">
        <v>2615</v>
      </c>
      <c r="K563" s="610" t="s">
        <v>258</v>
      </c>
      <c r="L563" s="610" t="s">
        <v>1163</v>
      </c>
      <c r="M563" s="610" t="s">
        <v>1761</v>
      </c>
      <c r="N563" s="182" t="s">
        <v>230</v>
      </c>
      <c r="O563" s="550" t="s">
        <v>139</v>
      </c>
      <c r="P563" s="328" t="s">
        <v>2251</v>
      </c>
      <c r="Q563" s="444" t="s">
        <v>2616</v>
      </c>
      <c r="R563" s="442" t="s">
        <v>2617</v>
      </c>
      <c r="S563" s="445" t="s">
        <v>1816</v>
      </c>
      <c r="T563" s="612" t="s">
        <v>2618</v>
      </c>
      <c r="U563" s="442" t="s">
        <v>2619</v>
      </c>
      <c r="V563" s="442" t="s">
        <v>1035</v>
      </c>
      <c r="W563" s="442" t="s">
        <v>1747</v>
      </c>
      <c r="X563" s="613">
        <v>10521000</v>
      </c>
      <c r="Y563" s="613">
        <v>9345000</v>
      </c>
      <c r="Z563" s="448">
        <f t="shared" si="44"/>
        <v>0.88800000000000001</v>
      </c>
      <c r="AA563" s="527" t="s">
        <v>1445</v>
      </c>
      <c r="AB563" s="442"/>
      <c r="AC563" s="630">
        <v>7</v>
      </c>
      <c r="AD563" s="632" t="s">
        <v>237</v>
      </c>
      <c r="AE563" s="632"/>
      <c r="AF563" s="632"/>
      <c r="AG563" s="328" t="s">
        <v>1636</v>
      </c>
      <c r="AH563" s="630">
        <v>7</v>
      </c>
      <c r="AI563" s="184"/>
      <c r="AJ563" s="182"/>
      <c r="AK563" s="182" t="s">
        <v>147</v>
      </c>
      <c r="AL563" s="231" t="str">
        <f>VLOOKUP(AK563,'[3]17見直し計画'!$A$50:$AJ$584,6,0)</f>
        <v>　見直し計画策定以降の新規案件</v>
      </c>
      <c r="AM563" s="204">
        <f>VLOOKUP(AK563,'[3]17見直し計画'!$A$50:$AJ$584,8,0)</f>
        <v>0</v>
      </c>
      <c r="AN563" s="224"/>
      <c r="AO563" s="205">
        <f>VLOOKUP(AK563,'[3]17見直し計画'!$A$50:$AJ$584,11,0)</f>
        <v>0</v>
      </c>
      <c r="AP563" s="204">
        <f>VLOOKUP(AK563,'[3]17見直し計画'!$A$50:$AJ$584,12,0)</f>
        <v>0</v>
      </c>
      <c r="AQ563" s="204">
        <f>VLOOKUP(AK563,'[3]17見直し計画'!$A$50:$AJ$584,13,0)</f>
        <v>0</v>
      </c>
      <c r="AR563" s="204">
        <f>VLOOKUP(AK563,'[3]17見直し計画'!$A$50:$AJ$584,14,0)</f>
        <v>0</v>
      </c>
      <c r="AS563" s="204"/>
      <c r="AT563" s="204">
        <f>VLOOKUP(AK563,'[3]17見直し計画'!$A$50:$AJ$584,35,0)</f>
        <v>0</v>
      </c>
      <c r="AU563" s="204">
        <f>VLOOKUP(AK563,'[3]17見直し計画'!$A$50:$AJ$584,36,0)</f>
        <v>0</v>
      </c>
    </row>
    <row r="564" spans="1:47" ht="142.5" hidden="1">
      <c r="B564" s="120" t="s">
        <v>134</v>
      </c>
      <c r="C564" s="120" t="s">
        <v>135</v>
      </c>
      <c r="D564" s="120" t="s">
        <v>136</v>
      </c>
      <c r="E564">
        <f t="shared" si="45"/>
        <v>478</v>
      </c>
      <c r="F564" s="122">
        <v>23</v>
      </c>
      <c r="G564" s="123">
        <v>23</v>
      </c>
      <c r="H564" s="543">
        <v>2201547</v>
      </c>
      <c r="I564" s="519"/>
      <c r="J564" s="543" t="s">
        <v>2620</v>
      </c>
      <c r="K564" s="543" t="s">
        <v>137</v>
      </c>
      <c r="L564" s="543" t="s">
        <v>1182</v>
      </c>
      <c r="M564" s="543" t="s">
        <v>2541</v>
      </c>
      <c r="N564" s="120" t="s">
        <v>138</v>
      </c>
      <c r="O564" s="544" t="s">
        <v>139</v>
      </c>
      <c r="P564" s="321" t="s">
        <v>122</v>
      </c>
      <c r="Q564" s="428" t="s">
        <v>2621</v>
      </c>
      <c r="R564" s="545" t="s">
        <v>2622</v>
      </c>
      <c r="S564" s="429" t="s">
        <v>1816</v>
      </c>
      <c r="T564" s="615" t="s">
        <v>2618</v>
      </c>
      <c r="U564" s="545" t="s">
        <v>222</v>
      </c>
      <c r="V564" s="545" t="s">
        <v>333</v>
      </c>
      <c r="W564" s="545" t="s">
        <v>1695</v>
      </c>
      <c r="X564" s="616">
        <v>9305100</v>
      </c>
      <c r="Y564" s="616">
        <v>9305100</v>
      </c>
      <c r="Z564" s="433">
        <f t="shared" si="44"/>
        <v>1</v>
      </c>
      <c r="AA564" s="434" t="s">
        <v>1445</v>
      </c>
      <c r="AB564" s="426"/>
      <c r="AC564" s="434" t="s">
        <v>1445</v>
      </c>
      <c r="AD564" s="603" t="s">
        <v>146</v>
      </c>
      <c r="AE564" s="603"/>
      <c r="AF564" s="603"/>
      <c r="AG564" s="321" t="s">
        <v>1636</v>
      </c>
      <c r="AH564" s="434" t="s">
        <v>1445</v>
      </c>
      <c r="AJ564" s="120"/>
      <c r="AK564" s="120" t="s">
        <v>147</v>
      </c>
      <c r="AL564" s="232" t="str">
        <f>VLOOKUP(AK564,'[3]17見直し計画'!$A$50:$AJ$584,6,0)</f>
        <v>　見直し計画策定以降の新規案件</v>
      </c>
      <c r="AM564" s="140">
        <f>VLOOKUP(AK564,'[3]17見直し計画'!$A$50:$AJ$584,8,0)</f>
        <v>0</v>
      </c>
      <c r="AN564" s="180"/>
      <c r="AO564" s="141">
        <f>VLOOKUP(AK564,'[3]17見直し計画'!$A$50:$AJ$584,11,0)</f>
        <v>0</v>
      </c>
      <c r="AP564" s="140">
        <f>VLOOKUP(AK564,'[3]17見直し計画'!$A$50:$AJ$584,12,0)</f>
        <v>0</v>
      </c>
      <c r="AQ564" s="140">
        <f>VLOOKUP(AK564,'[3]17見直し計画'!$A$50:$AJ$584,13,0)</f>
        <v>0</v>
      </c>
      <c r="AR564" s="140">
        <f>VLOOKUP(AK564,'[3]17見直し計画'!$A$50:$AJ$584,14,0)</f>
        <v>0</v>
      </c>
      <c r="AS564" s="140"/>
      <c r="AT564" s="140">
        <f>VLOOKUP(AK564,'[3]17見直し計画'!$A$50:$AJ$584,35,0)</f>
        <v>0</v>
      </c>
      <c r="AU564" s="140">
        <f>VLOOKUP(AK564,'[3]17見直し計画'!$A$50:$AJ$584,36,0)</f>
        <v>0</v>
      </c>
    </row>
    <row r="565" spans="1:47" ht="99.75" hidden="1">
      <c r="B565" s="182"/>
      <c r="C565" s="182"/>
      <c r="D565" s="223" t="s">
        <v>421</v>
      </c>
      <c r="E565">
        <f t="shared" si="45"/>
        <v>479</v>
      </c>
      <c r="F565" s="185">
        <v>24</v>
      </c>
      <c r="G565" s="186">
        <v>24</v>
      </c>
      <c r="H565" s="610">
        <v>2201546</v>
      </c>
      <c r="I565" s="633"/>
      <c r="J565" s="610" t="s">
        <v>2623</v>
      </c>
      <c r="K565" s="610" t="s">
        <v>1085</v>
      </c>
      <c r="L565" s="610" t="s">
        <v>1163</v>
      </c>
      <c r="M565" s="610" t="s">
        <v>2477</v>
      </c>
      <c r="N565" s="182" t="s">
        <v>230</v>
      </c>
      <c r="O565" s="550" t="s">
        <v>139</v>
      </c>
      <c r="P565" s="328" t="s">
        <v>2251</v>
      </c>
      <c r="Q565" s="444" t="s">
        <v>2624</v>
      </c>
      <c r="R565" s="442" t="s">
        <v>2625</v>
      </c>
      <c r="S565" s="445" t="s">
        <v>1816</v>
      </c>
      <c r="T565" s="612" t="s">
        <v>2618</v>
      </c>
      <c r="U565" s="442" t="s">
        <v>2626</v>
      </c>
      <c r="V565" s="442" t="s">
        <v>1305</v>
      </c>
      <c r="W565" s="442" t="s">
        <v>1747</v>
      </c>
      <c r="X565" s="613">
        <v>4920000</v>
      </c>
      <c r="Y565" s="613">
        <v>4452848</v>
      </c>
      <c r="Z565" s="448">
        <f t="shared" si="44"/>
        <v>0.90500000000000003</v>
      </c>
      <c r="AA565" s="527" t="s">
        <v>1445</v>
      </c>
      <c r="AB565" s="442"/>
      <c r="AC565" s="630">
        <v>1</v>
      </c>
      <c r="AD565" s="634" t="s">
        <v>631</v>
      </c>
      <c r="AE565" s="634"/>
      <c r="AF565" s="634"/>
      <c r="AG565" s="328" t="s">
        <v>1636</v>
      </c>
      <c r="AH565" s="630">
        <v>1</v>
      </c>
      <c r="AI565" s="184"/>
      <c r="AJ565" s="182"/>
      <c r="AK565" s="182" t="s">
        <v>147</v>
      </c>
      <c r="AL565" s="231" t="str">
        <f>VLOOKUP(AK565,'[3]17見直し計画'!$A$50:$AJ$584,6,0)</f>
        <v>　見直し計画策定以降の新規案件</v>
      </c>
      <c r="AM565" s="204">
        <f>VLOOKUP(AK565,'[3]17見直し計画'!$A$50:$AJ$584,8,0)</f>
        <v>0</v>
      </c>
      <c r="AN565" s="224"/>
      <c r="AO565" s="205">
        <f>VLOOKUP(AK565,'[3]17見直し計画'!$A$50:$AJ$584,11,0)</f>
        <v>0</v>
      </c>
      <c r="AP565" s="204">
        <f>VLOOKUP(AK565,'[3]17見直し計画'!$A$50:$AJ$584,12,0)</f>
        <v>0</v>
      </c>
      <c r="AQ565" s="204">
        <f>VLOOKUP(AK565,'[3]17見直し計画'!$A$50:$AJ$584,13,0)</f>
        <v>0</v>
      </c>
      <c r="AR565" s="204">
        <f>VLOOKUP(AK565,'[3]17見直し計画'!$A$50:$AJ$584,14,0)</f>
        <v>0</v>
      </c>
      <c r="AS565" s="204"/>
      <c r="AT565" s="204">
        <f>VLOOKUP(AK565,'[3]17見直し計画'!$A$50:$AJ$584,35,0)</f>
        <v>0</v>
      </c>
      <c r="AU565" s="204">
        <f>VLOOKUP(AK565,'[3]17見直し計画'!$A$50:$AJ$584,36,0)</f>
        <v>0</v>
      </c>
    </row>
    <row r="566" spans="1:47" ht="85.5" hidden="1">
      <c r="B566" s="631" t="s">
        <v>218</v>
      </c>
      <c r="C566" s="120" t="s">
        <v>135</v>
      </c>
      <c r="D566" s="120" t="s">
        <v>136</v>
      </c>
      <c r="E566">
        <f t="shared" si="45"/>
        <v>480</v>
      </c>
      <c r="F566" s="122">
        <v>25</v>
      </c>
      <c r="G566" s="123">
        <v>25</v>
      </c>
      <c r="H566" s="543">
        <v>2201589</v>
      </c>
      <c r="I566" s="424"/>
      <c r="J566" s="543" t="s">
        <v>2627</v>
      </c>
      <c r="K566" s="543" t="s">
        <v>207</v>
      </c>
      <c r="L566" s="543" t="s">
        <v>1163</v>
      </c>
      <c r="M566" s="543" t="s">
        <v>1456</v>
      </c>
      <c r="N566" s="120" t="s">
        <v>138</v>
      </c>
      <c r="O566" s="544" t="s">
        <v>139</v>
      </c>
      <c r="P566" s="321" t="s">
        <v>122</v>
      </c>
      <c r="Q566" s="428" t="s">
        <v>2628</v>
      </c>
      <c r="R566" s="545" t="s">
        <v>2629</v>
      </c>
      <c r="S566" s="429" t="s">
        <v>1816</v>
      </c>
      <c r="T566" s="615" t="s">
        <v>2630</v>
      </c>
      <c r="U566" s="545" t="s">
        <v>2607</v>
      </c>
      <c r="V566" s="545" t="s">
        <v>2608</v>
      </c>
      <c r="W566" s="545" t="s">
        <v>2631</v>
      </c>
      <c r="X566" s="616">
        <v>4781700</v>
      </c>
      <c r="Y566" s="616">
        <v>4781700</v>
      </c>
      <c r="Z566" s="433">
        <f t="shared" si="44"/>
        <v>1</v>
      </c>
      <c r="AA566" s="434" t="s">
        <v>1445</v>
      </c>
      <c r="AB566" s="426"/>
      <c r="AC566" s="434" t="s">
        <v>1445</v>
      </c>
      <c r="AD566" s="582" t="s">
        <v>146</v>
      </c>
      <c r="AE566" s="582"/>
      <c r="AF566" s="582"/>
      <c r="AG566" s="321" t="s">
        <v>1636</v>
      </c>
      <c r="AH566" s="434" t="s">
        <v>1445</v>
      </c>
      <c r="AJ566" s="120"/>
      <c r="AK566" s="120" t="s">
        <v>147</v>
      </c>
      <c r="AL566" s="232" t="str">
        <f>VLOOKUP(AK566,'[3]17見直し計画'!$A$50:$AJ$584,6,0)</f>
        <v>　見直し計画策定以降の新規案件</v>
      </c>
      <c r="AM566" s="140">
        <f>VLOOKUP(AK566,'[3]17見直し計画'!$A$50:$AJ$584,8,0)</f>
        <v>0</v>
      </c>
      <c r="AN566" s="180"/>
      <c r="AO566" s="141">
        <f>VLOOKUP(AK566,'[3]17見直し計画'!$A$50:$AJ$584,11,0)</f>
        <v>0</v>
      </c>
      <c r="AP566" s="140">
        <f>VLOOKUP(AK566,'[3]17見直し計画'!$A$50:$AJ$584,12,0)</f>
        <v>0</v>
      </c>
      <c r="AQ566" s="140">
        <f>VLOOKUP(AK566,'[3]17見直し計画'!$A$50:$AJ$584,13,0)</f>
        <v>0</v>
      </c>
      <c r="AR566" s="140">
        <f>VLOOKUP(AK566,'[3]17見直し計画'!$A$50:$AJ$584,14,0)</f>
        <v>0</v>
      </c>
      <c r="AS566" s="140"/>
      <c r="AT566" s="140">
        <f>VLOOKUP(AK566,'[3]17見直し計画'!$A$50:$AJ$584,35,0)</f>
        <v>0</v>
      </c>
      <c r="AU566" s="140">
        <f>VLOOKUP(AK566,'[3]17見直し計画'!$A$50:$AJ$584,36,0)</f>
        <v>0</v>
      </c>
    </row>
    <row r="567" spans="1:47" ht="99.75">
      <c r="A567" t="s">
        <v>148</v>
      </c>
      <c r="B567" s="126" t="s">
        <v>1495</v>
      </c>
      <c r="C567" s="120" t="s">
        <v>350</v>
      </c>
      <c r="D567" s="120" t="s">
        <v>477</v>
      </c>
      <c r="E567">
        <f t="shared" si="45"/>
        <v>481</v>
      </c>
      <c r="F567" s="122">
        <v>26</v>
      </c>
      <c r="G567" s="123">
        <v>26</v>
      </c>
      <c r="H567" s="543">
        <v>2201561</v>
      </c>
      <c r="I567" s="424"/>
      <c r="J567" s="543" t="s">
        <v>2632</v>
      </c>
      <c r="K567" s="543" t="s">
        <v>680</v>
      </c>
      <c r="L567" s="543" t="s">
        <v>1190</v>
      </c>
      <c r="M567" s="543" t="s">
        <v>2078</v>
      </c>
      <c r="N567" s="120" t="s">
        <v>138</v>
      </c>
      <c r="O567" s="544" t="s">
        <v>139</v>
      </c>
      <c r="P567" s="321" t="s">
        <v>122</v>
      </c>
      <c r="Q567" s="428" t="s">
        <v>2633</v>
      </c>
      <c r="R567" s="545" t="s">
        <v>2634</v>
      </c>
      <c r="S567" s="429" t="s">
        <v>1816</v>
      </c>
      <c r="T567" s="615" t="s">
        <v>2630</v>
      </c>
      <c r="U567" s="545" t="s">
        <v>1837</v>
      </c>
      <c r="V567" s="545" t="s">
        <v>1499</v>
      </c>
      <c r="W567" s="545" t="s">
        <v>1785</v>
      </c>
      <c r="X567" s="616">
        <v>1532175</v>
      </c>
      <c r="Y567" s="616">
        <v>1532175</v>
      </c>
      <c r="Z567" s="433">
        <f t="shared" si="44"/>
        <v>1</v>
      </c>
      <c r="AA567" s="425" t="s">
        <v>1445</v>
      </c>
      <c r="AB567" s="426"/>
      <c r="AC567" s="434" t="s">
        <v>1445</v>
      </c>
      <c r="AD567" s="582" t="s">
        <v>146</v>
      </c>
      <c r="AE567" s="582"/>
      <c r="AF567" s="582"/>
      <c r="AG567" s="321" t="s">
        <v>1636</v>
      </c>
      <c r="AH567" s="434" t="s">
        <v>1445</v>
      </c>
      <c r="AJ567" s="120"/>
      <c r="AK567" s="120" t="s">
        <v>147</v>
      </c>
      <c r="AL567" s="232" t="str">
        <f>VLOOKUP(AK567,'[3]17見直し計画'!$A$50:$AJ$584,6,0)</f>
        <v>　見直し計画策定以降の新規案件</v>
      </c>
      <c r="AM567" s="140">
        <f>VLOOKUP(AK567,'[3]17見直し計画'!$A$50:$AJ$584,8,0)</f>
        <v>0</v>
      </c>
      <c r="AN567" s="180"/>
      <c r="AO567" s="141">
        <f>VLOOKUP(AK567,'[3]17見直し計画'!$A$50:$AJ$584,11,0)</f>
        <v>0</v>
      </c>
      <c r="AP567" s="140">
        <f>VLOOKUP(AK567,'[3]17見直し計画'!$A$50:$AJ$584,12,0)</f>
        <v>0</v>
      </c>
      <c r="AQ567" s="140">
        <f>VLOOKUP(AK567,'[3]17見直し計画'!$A$50:$AJ$584,13,0)</f>
        <v>0</v>
      </c>
      <c r="AR567" s="140">
        <f>VLOOKUP(AK567,'[3]17見直し計画'!$A$50:$AJ$584,14,0)</f>
        <v>0</v>
      </c>
      <c r="AS567" s="140"/>
      <c r="AT567" s="140">
        <f>VLOOKUP(AK567,'[3]17見直し計画'!$A$50:$AJ$584,35,0)</f>
        <v>0</v>
      </c>
      <c r="AU567" s="140">
        <f>VLOOKUP(AK567,'[3]17見直し計画'!$A$50:$AJ$584,36,0)</f>
        <v>0</v>
      </c>
    </row>
    <row r="568" spans="1:47" ht="99.75" hidden="1">
      <c r="B568" s="182"/>
      <c r="C568" s="182"/>
      <c r="D568" s="223" t="s">
        <v>421</v>
      </c>
      <c r="E568">
        <f>SUM(E567+1)</f>
        <v>482</v>
      </c>
      <c r="F568" s="185">
        <v>27</v>
      </c>
      <c r="G568" s="186">
        <v>27</v>
      </c>
      <c r="H568" s="610">
        <v>2201725</v>
      </c>
      <c r="I568" s="441"/>
      <c r="J568" s="610"/>
      <c r="K568" s="610" t="s">
        <v>258</v>
      </c>
      <c r="L568" s="610" t="s">
        <v>1163</v>
      </c>
      <c r="M568" s="610" t="s">
        <v>1761</v>
      </c>
      <c r="N568" s="182" t="s">
        <v>230</v>
      </c>
      <c r="O568" s="550" t="s">
        <v>139</v>
      </c>
      <c r="P568" s="328" t="s">
        <v>2251</v>
      </c>
      <c r="Q568" s="444" t="s">
        <v>2635</v>
      </c>
      <c r="R568" s="442" t="s">
        <v>2636</v>
      </c>
      <c r="S568" s="445" t="s">
        <v>1816</v>
      </c>
      <c r="T568" s="612" t="s">
        <v>2637</v>
      </c>
      <c r="U568" s="442" t="s">
        <v>2638</v>
      </c>
      <c r="V568" s="442" t="s">
        <v>2639</v>
      </c>
      <c r="W568" s="442" t="s">
        <v>1747</v>
      </c>
      <c r="X568" s="613">
        <v>2794000</v>
      </c>
      <c r="Y568" s="613">
        <v>2793000</v>
      </c>
      <c r="Z568" s="448">
        <f t="shared" si="44"/>
        <v>0.999</v>
      </c>
      <c r="AA568" s="440" t="s">
        <v>1445</v>
      </c>
      <c r="AB568" s="442"/>
      <c r="AC568" s="630">
        <v>7</v>
      </c>
      <c r="AD568" s="599" t="s">
        <v>237</v>
      </c>
      <c r="AE568" s="599"/>
      <c r="AF568" s="599"/>
      <c r="AG568" s="328" t="s">
        <v>1636</v>
      </c>
      <c r="AH568" s="630">
        <v>7</v>
      </c>
      <c r="AI568" s="184"/>
      <c r="AJ568" s="182"/>
      <c r="AK568" s="182" t="s">
        <v>147</v>
      </c>
      <c r="AL568" s="231" t="str">
        <f>VLOOKUP(AK568,'[3]17見直し計画'!$A$50:$AJ$584,6,0)</f>
        <v>　見直し計画策定以降の新規案件</v>
      </c>
      <c r="AM568" s="204">
        <f>VLOOKUP(AK568,'[3]17見直し計画'!$A$50:$AJ$584,8,0)</f>
        <v>0</v>
      </c>
      <c r="AN568" s="224"/>
      <c r="AO568" s="205">
        <f>VLOOKUP(AK568,'[3]17見直し計画'!$A$50:$AJ$584,11,0)</f>
        <v>0</v>
      </c>
      <c r="AP568" s="204">
        <f>VLOOKUP(AK568,'[3]17見直し計画'!$A$50:$AJ$584,12,0)</f>
        <v>0</v>
      </c>
      <c r="AQ568" s="204">
        <f>VLOOKUP(AK568,'[3]17見直し計画'!$A$50:$AJ$584,13,0)</f>
        <v>0</v>
      </c>
      <c r="AR568" s="204">
        <f>VLOOKUP(AK568,'[3]17見直し計画'!$A$50:$AJ$584,14,0)</f>
        <v>0</v>
      </c>
      <c r="AS568" s="204"/>
      <c r="AT568" s="204">
        <f>VLOOKUP(AK568,'[3]17見直し計画'!$A$50:$AJ$584,35,0)</f>
        <v>0</v>
      </c>
      <c r="AU568" s="204">
        <f>VLOOKUP(AK568,'[3]17見直し計画'!$A$50:$AJ$584,36,0)</f>
        <v>0</v>
      </c>
    </row>
    <row r="569" spans="1:47" ht="142.5" hidden="1">
      <c r="B569" s="120" t="s">
        <v>134</v>
      </c>
      <c r="C569" s="258" t="s">
        <v>135</v>
      </c>
      <c r="D569" s="257" t="s">
        <v>136</v>
      </c>
      <c r="E569">
        <f t="shared" si="45"/>
        <v>483</v>
      </c>
      <c r="F569" s="122">
        <v>28</v>
      </c>
      <c r="G569" s="123">
        <v>28</v>
      </c>
      <c r="H569" s="543">
        <v>2201572</v>
      </c>
      <c r="I569" s="424"/>
      <c r="J569" s="543" t="s">
        <v>2640</v>
      </c>
      <c r="K569" s="543" t="s">
        <v>345</v>
      </c>
      <c r="L569" s="543" t="s">
        <v>1182</v>
      </c>
      <c r="M569" s="543" t="s">
        <v>2541</v>
      </c>
      <c r="N569" s="120" t="s">
        <v>138</v>
      </c>
      <c r="O569" s="544" t="s">
        <v>139</v>
      </c>
      <c r="P569" s="321" t="s">
        <v>122</v>
      </c>
      <c r="Q569" s="428" t="s">
        <v>2641</v>
      </c>
      <c r="R569" s="545" t="s">
        <v>2642</v>
      </c>
      <c r="S569" s="429" t="s">
        <v>1816</v>
      </c>
      <c r="T569" s="615" t="s">
        <v>2643</v>
      </c>
      <c r="U569" s="545" t="s">
        <v>1238</v>
      </c>
      <c r="V569" s="545" t="s">
        <v>304</v>
      </c>
      <c r="W569" s="545" t="s">
        <v>1695</v>
      </c>
      <c r="X569" s="616">
        <v>14558250</v>
      </c>
      <c r="Y569" s="616">
        <v>14558250</v>
      </c>
      <c r="Z569" s="433">
        <f t="shared" si="44"/>
        <v>1</v>
      </c>
      <c r="AA569" s="425" t="s">
        <v>1445</v>
      </c>
      <c r="AB569" s="426"/>
      <c r="AC569" s="434" t="s">
        <v>1445</v>
      </c>
      <c r="AD569" s="582" t="s">
        <v>146</v>
      </c>
      <c r="AE569" s="582"/>
      <c r="AF569" s="582"/>
      <c r="AG569" s="321" t="s">
        <v>1636</v>
      </c>
      <c r="AH569" s="434" t="s">
        <v>1445</v>
      </c>
      <c r="AJ569" s="120"/>
      <c r="AK569" s="120" t="s">
        <v>147</v>
      </c>
      <c r="AL569" s="232" t="str">
        <f>VLOOKUP(AK569,'[3]17見直し計画'!$A$50:$AJ$584,6,0)</f>
        <v>　見直し計画策定以降の新規案件</v>
      </c>
      <c r="AM569" s="140">
        <f>VLOOKUP(AK569,'[3]17見直し計画'!$A$50:$AJ$584,8,0)</f>
        <v>0</v>
      </c>
      <c r="AN569" s="180"/>
      <c r="AO569" s="141">
        <f>VLOOKUP(AK569,'[3]17見直し計画'!$A$50:$AJ$584,11,0)</f>
        <v>0</v>
      </c>
      <c r="AP569" s="140">
        <f>VLOOKUP(AK569,'[3]17見直し計画'!$A$50:$AJ$584,12,0)</f>
        <v>0</v>
      </c>
      <c r="AQ569" s="140">
        <f>VLOOKUP(AK569,'[3]17見直し計画'!$A$50:$AJ$584,13,0)</f>
        <v>0</v>
      </c>
      <c r="AR569" s="140">
        <f>VLOOKUP(AK569,'[3]17見直し計画'!$A$50:$AJ$584,14,0)</f>
        <v>0</v>
      </c>
      <c r="AS569" s="140"/>
      <c r="AT569" s="140">
        <f>VLOOKUP(AK569,'[3]17見直し計画'!$A$50:$AJ$584,35,0)</f>
        <v>0</v>
      </c>
      <c r="AU569" s="140">
        <f>VLOOKUP(AK569,'[3]17見直し計画'!$A$50:$AJ$584,36,0)</f>
        <v>0</v>
      </c>
    </row>
    <row r="570" spans="1:47" ht="142.5" hidden="1">
      <c r="B570" s="120" t="s">
        <v>213</v>
      </c>
      <c r="C570" s="120" t="s">
        <v>135</v>
      </c>
      <c r="D570" s="120" t="s">
        <v>136</v>
      </c>
      <c r="E570">
        <f t="shared" si="45"/>
        <v>484</v>
      </c>
      <c r="F570" s="122">
        <v>29</v>
      </c>
      <c r="G570" s="123">
        <v>29</v>
      </c>
      <c r="H570" s="543">
        <v>2201396</v>
      </c>
      <c r="I570" s="424"/>
      <c r="J570" s="543" t="s">
        <v>2644</v>
      </c>
      <c r="K570" s="543" t="s">
        <v>294</v>
      </c>
      <c r="L570" s="543" t="s">
        <v>1182</v>
      </c>
      <c r="M570" s="543" t="s">
        <v>1183</v>
      </c>
      <c r="N570" s="120" t="s">
        <v>186</v>
      </c>
      <c r="O570" s="544" t="s">
        <v>187</v>
      </c>
      <c r="P570" s="321" t="s">
        <v>122</v>
      </c>
      <c r="Q570" s="428" t="s">
        <v>2645</v>
      </c>
      <c r="R570" s="545" t="s">
        <v>2646</v>
      </c>
      <c r="S570" s="429" t="s">
        <v>1816</v>
      </c>
      <c r="T570" s="615" t="s">
        <v>2647</v>
      </c>
      <c r="U570" s="545" t="s">
        <v>2648</v>
      </c>
      <c r="V570" s="545" t="s">
        <v>143</v>
      </c>
      <c r="W570" s="545" t="s">
        <v>1695</v>
      </c>
      <c r="X570" s="616">
        <v>27300000</v>
      </c>
      <c r="Y570" s="616">
        <v>27300000</v>
      </c>
      <c r="Z570" s="433">
        <f t="shared" si="44"/>
        <v>1</v>
      </c>
      <c r="AA570" s="425" t="s">
        <v>1445</v>
      </c>
      <c r="AB570" s="426"/>
      <c r="AC570" s="434" t="s">
        <v>1445</v>
      </c>
      <c r="AD570" s="582" t="s">
        <v>192</v>
      </c>
      <c r="AE570" s="582"/>
      <c r="AF570" s="582"/>
      <c r="AG570" s="321" t="s">
        <v>1636</v>
      </c>
      <c r="AH570" s="434" t="s">
        <v>1445</v>
      </c>
      <c r="AJ570" s="120"/>
      <c r="AK570" s="120" t="s">
        <v>147</v>
      </c>
      <c r="AL570" s="232" t="str">
        <f>VLOOKUP(AK570,'[3]17見直し計画'!$A$50:$AJ$584,6,0)</f>
        <v>　見直し計画策定以降の新規案件</v>
      </c>
      <c r="AM570" s="140">
        <f>VLOOKUP(AK570,'[3]17見直し計画'!$A$50:$AJ$584,8,0)</f>
        <v>0</v>
      </c>
      <c r="AN570" s="180"/>
      <c r="AO570" s="141">
        <f>VLOOKUP(AK570,'[3]17見直し計画'!$A$50:$AJ$584,11,0)</f>
        <v>0</v>
      </c>
      <c r="AP570" s="140">
        <f>VLOOKUP(AK570,'[3]17見直し計画'!$A$50:$AJ$584,12,0)</f>
        <v>0</v>
      </c>
      <c r="AQ570" s="140">
        <f>VLOOKUP(AK570,'[3]17見直し計画'!$A$50:$AJ$584,13,0)</f>
        <v>0</v>
      </c>
      <c r="AR570" s="140">
        <f>VLOOKUP(AK570,'[3]17見直し計画'!$A$50:$AJ$584,14,0)</f>
        <v>0</v>
      </c>
      <c r="AS570" s="140"/>
      <c r="AT570" s="140">
        <f>VLOOKUP(AK570,'[3]17見直し計画'!$A$50:$AJ$584,35,0)</f>
        <v>0</v>
      </c>
      <c r="AU570" s="140">
        <f>VLOOKUP(AK570,'[3]17見直し計画'!$A$50:$AJ$584,36,0)</f>
        <v>0</v>
      </c>
    </row>
    <row r="571" spans="1:47" ht="156.75">
      <c r="B571" s="257" t="s">
        <v>549</v>
      </c>
      <c r="C571" s="258" t="s">
        <v>550</v>
      </c>
      <c r="D571" s="257" t="s">
        <v>351</v>
      </c>
      <c r="E571">
        <f t="shared" si="45"/>
        <v>485</v>
      </c>
      <c r="F571" s="122">
        <v>30</v>
      </c>
      <c r="G571" s="123">
        <v>30</v>
      </c>
      <c r="H571" s="543">
        <v>2300007</v>
      </c>
      <c r="I571" s="424"/>
      <c r="J571" s="543" t="s">
        <v>2649</v>
      </c>
      <c r="K571" s="543" t="s">
        <v>229</v>
      </c>
      <c r="L571" s="543" t="s">
        <v>1190</v>
      </c>
      <c r="M571" s="543" t="s">
        <v>1448</v>
      </c>
      <c r="N571" s="120" t="s">
        <v>138</v>
      </c>
      <c r="O571" s="544" t="s">
        <v>139</v>
      </c>
      <c r="P571" s="321" t="s">
        <v>122</v>
      </c>
      <c r="Q571" s="428" t="s">
        <v>2650</v>
      </c>
      <c r="R571" s="545" t="s">
        <v>2651</v>
      </c>
      <c r="S571" s="429" t="s">
        <v>1816</v>
      </c>
      <c r="T571" s="615" t="s">
        <v>2652</v>
      </c>
      <c r="U571" s="545" t="s">
        <v>2653</v>
      </c>
      <c r="V571" s="545" t="s">
        <v>1294</v>
      </c>
      <c r="W571" s="545" t="s">
        <v>2654</v>
      </c>
      <c r="X571" s="616">
        <v>3132969</v>
      </c>
      <c r="Y571" s="616">
        <v>3132969</v>
      </c>
      <c r="Z571" s="433">
        <f t="shared" si="44"/>
        <v>1</v>
      </c>
      <c r="AA571" s="425" t="s">
        <v>1445</v>
      </c>
      <c r="AB571" s="426"/>
      <c r="AC571" s="434" t="s">
        <v>1445</v>
      </c>
      <c r="AD571" s="582" t="s">
        <v>146</v>
      </c>
      <c r="AE571" s="582"/>
      <c r="AF571" s="582"/>
      <c r="AG571" s="321" t="s">
        <v>1636</v>
      </c>
      <c r="AH571" s="434" t="s">
        <v>1445</v>
      </c>
      <c r="AJ571" s="120"/>
      <c r="AK571" s="120" t="s">
        <v>2655</v>
      </c>
      <c r="AL571" s="232" t="str">
        <f>VLOOKUP(AK571,'[3]17見直し計画'!$A$50:$AJ$584,6,0)</f>
        <v>関西国際交流団体協議会</v>
      </c>
      <c r="AM571" s="140" t="str">
        <f>VLOOKUP(AK571,'[3]17見直し計画'!$A$50:$AJ$584,8,0)</f>
        <v>「ワン・ワールド・フェスティバル（大阪）におけるＯＤＡタウンミーティング」開催業務委嘱</v>
      </c>
      <c r="AN571" s="180">
        <f>VLOOKUP(AK571,'[3]17見直し計画'!$A$50:$AJ$584,10,0)</f>
        <v>38742</v>
      </c>
      <c r="AO571" s="141">
        <f>VLOOKUP(AK571,'[3]17見直し計画'!$A$50:$AJ$584,11,0)</f>
        <v>1972847</v>
      </c>
      <c r="AP571" s="140" t="str">
        <f>VLOOKUP(AK571,'[3]17見直し計画'!$A$50:$AJ$584,12,0)</f>
        <v>本フェスティバルは契約相手先が事務局としてロジ全般を行っているフェスティバルの一部分を当方事業として行うものであり、同団体以外に本件ロジ業務委嘱を行える団体は存在しない（会計法第２９条の３第４項）。</v>
      </c>
      <c r="AQ571" s="140" t="str">
        <f>VLOOKUP(AK571,'[3]17見直し計画'!$A$50:$AJ$584,13,0)</f>
        <v>その他のもの</v>
      </c>
      <c r="AR571" s="140" t="str">
        <f>VLOOKUP(AK571,'[3]17見直し計画'!$A$50:$AJ$584,14,0)</f>
        <v>随意契約によらざるを得ないもの</v>
      </c>
      <c r="AS571" s="140"/>
      <c r="AT571" s="140" t="str">
        <f>VLOOKUP(AK571,'[3]17見直し計画'!$A$50:$AJ$584,35,0)</f>
        <v>行政目的を達成するために不可欠な業務を提供することが可能な者から提供を受けるもの</v>
      </c>
      <c r="AU571" s="140" t="str">
        <f>VLOOKUP(AK571,'[3]17見直し計画'!$A$50:$AJ$584,36,0)</f>
        <v>ニ（ヘ）
に準ずる</v>
      </c>
    </row>
    <row r="572" spans="1:47" ht="142.5" hidden="1">
      <c r="B572" s="120" t="s">
        <v>284</v>
      </c>
      <c r="C572" s="120" t="s">
        <v>135</v>
      </c>
      <c r="D572" s="120" t="s">
        <v>136</v>
      </c>
      <c r="E572">
        <f>SUM(E571+1)</f>
        <v>486</v>
      </c>
      <c r="F572" s="122">
        <v>31</v>
      </c>
      <c r="G572" s="123">
        <v>31</v>
      </c>
      <c r="H572" s="543">
        <v>2201595</v>
      </c>
      <c r="I572" s="424"/>
      <c r="J572" s="543" t="s">
        <v>2656</v>
      </c>
      <c r="K572" s="543" t="s">
        <v>1397</v>
      </c>
      <c r="L572" s="543" t="s">
        <v>1163</v>
      </c>
      <c r="M572" s="543" t="s">
        <v>2477</v>
      </c>
      <c r="N572" s="120" t="s">
        <v>138</v>
      </c>
      <c r="O572" s="544" t="s">
        <v>139</v>
      </c>
      <c r="P572" s="321" t="s">
        <v>122</v>
      </c>
      <c r="Q572" s="428" t="s">
        <v>2657</v>
      </c>
      <c r="R572" s="545" t="s">
        <v>2658</v>
      </c>
      <c r="S572" s="429" t="s">
        <v>1816</v>
      </c>
      <c r="T572" s="615" t="s">
        <v>2652</v>
      </c>
      <c r="U572" s="545" t="s">
        <v>2659</v>
      </c>
      <c r="V572" s="545" t="s">
        <v>2482</v>
      </c>
      <c r="W572" s="545" t="s">
        <v>2660</v>
      </c>
      <c r="X572" s="616">
        <v>2552900</v>
      </c>
      <c r="Y572" s="616">
        <v>2552900</v>
      </c>
      <c r="Z572" s="433">
        <f t="shared" si="44"/>
        <v>1</v>
      </c>
      <c r="AA572" s="425" t="s">
        <v>1445</v>
      </c>
      <c r="AB572" s="426"/>
      <c r="AC572" s="434" t="s">
        <v>1445</v>
      </c>
      <c r="AD572" s="582" t="s">
        <v>146</v>
      </c>
      <c r="AE572" s="582"/>
      <c r="AF572" s="582"/>
      <c r="AG572" s="321" t="s">
        <v>1636</v>
      </c>
      <c r="AH572" s="434" t="s">
        <v>1445</v>
      </c>
      <c r="AJ572" s="120"/>
      <c r="AK572" s="120" t="s">
        <v>147</v>
      </c>
      <c r="AL572" s="232" t="str">
        <f>VLOOKUP(AK572,'[3]17見直し計画'!$A$50:$AJ$584,6,0)</f>
        <v>　見直し計画策定以降の新規案件</v>
      </c>
      <c r="AM572" s="140">
        <f>VLOOKUP(AK572,'[3]17見直し計画'!$A$50:$AJ$584,8,0)</f>
        <v>0</v>
      </c>
      <c r="AN572" s="180"/>
      <c r="AO572" s="141">
        <f>VLOOKUP(AK572,'[3]17見直し計画'!$A$50:$AJ$584,11,0)</f>
        <v>0</v>
      </c>
      <c r="AP572" s="140">
        <f>VLOOKUP(AK572,'[3]17見直し計画'!$A$50:$AJ$584,12,0)</f>
        <v>0</v>
      </c>
      <c r="AQ572" s="140">
        <f>VLOOKUP(AK572,'[3]17見直し計画'!$A$50:$AJ$584,13,0)</f>
        <v>0</v>
      </c>
      <c r="AR572" s="140">
        <f>VLOOKUP(AK572,'[3]17見直し計画'!$A$50:$AJ$584,14,0)</f>
        <v>0</v>
      </c>
      <c r="AS572" s="140"/>
      <c r="AT572" s="140">
        <f>VLOOKUP(AK572,'[3]17見直し計画'!$A$50:$AJ$584,35,0)</f>
        <v>0</v>
      </c>
      <c r="AU572" s="140">
        <f>VLOOKUP(AK572,'[3]17見直し計画'!$A$50:$AJ$584,36,0)</f>
        <v>0</v>
      </c>
    </row>
    <row r="573" spans="1:47" ht="142.5" hidden="1">
      <c r="B573" s="120" t="s">
        <v>134</v>
      </c>
      <c r="C573" s="120" t="s">
        <v>135</v>
      </c>
      <c r="D573" s="120" t="s">
        <v>136</v>
      </c>
      <c r="E573">
        <f t="shared" si="45"/>
        <v>487</v>
      </c>
      <c r="F573" s="122">
        <v>32</v>
      </c>
      <c r="G573" s="123">
        <v>32</v>
      </c>
      <c r="H573" s="543">
        <v>2201594</v>
      </c>
      <c r="I573" s="424"/>
      <c r="J573" s="543" t="s">
        <v>2661</v>
      </c>
      <c r="K573" s="543" t="s">
        <v>195</v>
      </c>
      <c r="L573" s="543" t="s">
        <v>1182</v>
      </c>
      <c r="M573" s="543" t="s">
        <v>2541</v>
      </c>
      <c r="N573" s="120" t="s">
        <v>138</v>
      </c>
      <c r="O573" s="544" t="s">
        <v>139</v>
      </c>
      <c r="P573" s="321" t="s">
        <v>122</v>
      </c>
      <c r="Q573" s="428" t="s">
        <v>2662</v>
      </c>
      <c r="R573" s="545" t="s">
        <v>2663</v>
      </c>
      <c r="S573" s="429" t="s">
        <v>1816</v>
      </c>
      <c r="T573" s="615" t="s">
        <v>2664</v>
      </c>
      <c r="U573" s="545" t="s">
        <v>222</v>
      </c>
      <c r="V573" s="545" t="s">
        <v>333</v>
      </c>
      <c r="W573" s="545" t="s">
        <v>1695</v>
      </c>
      <c r="X573" s="616">
        <v>1182300</v>
      </c>
      <c r="Y573" s="616">
        <v>1182300</v>
      </c>
      <c r="Z573" s="433">
        <f t="shared" si="44"/>
        <v>1</v>
      </c>
      <c r="AA573" s="425" t="s">
        <v>1445</v>
      </c>
      <c r="AB573" s="426"/>
      <c r="AC573" s="434" t="s">
        <v>1445</v>
      </c>
      <c r="AD573" s="582" t="s">
        <v>146</v>
      </c>
      <c r="AE573" s="582"/>
      <c r="AF573" s="582"/>
      <c r="AG573" s="321" t="s">
        <v>1636</v>
      </c>
      <c r="AH573" s="434" t="s">
        <v>1445</v>
      </c>
      <c r="AJ573" s="120"/>
      <c r="AK573" s="120" t="s">
        <v>147</v>
      </c>
      <c r="AL573" s="232" t="str">
        <f>VLOOKUP(AK573,'[3]17見直し計画'!$A$50:$AJ$584,6,0)</f>
        <v>　見直し計画策定以降の新規案件</v>
      </c>
      <c r="AM573" s="140">
        <f>VLOOKUP(AK573,'[3]17見直し計画'!$A$50:$AJ$584,8,0)</f>
        <v>0</v>
      </c>
      <c r="AN573" s="180"/>
      <c r="AO573" s="141">
        <f>VLOOKUP(AK573,'[3]17見直し計画'!$A$50:$AJ$584,11,0)</f>
        <v>0</v>
      </c>
      <c r="AP573" s="140">
        <f>VLOOKUP(AK573,'[3]17見直し計画'!$A$50:$AJ$584,12,0)</f>
        <v>0</v>
      </c>
      <c r="AQ573" s="140">
        <f>VLOOKUP(AK573,'[3]17見直し計画'!$A$50:$AJ$584,13,0)</f>
        <v>0</v>
      </c>
      <c r="AR573" s="140">
        <f>VLOOKUP(AK573,'[3]17見直し計画'!$A$50:$AJ$584,14,0)</f>
        <v>0</v>
      </c>
      <c r="AS573" s="140"/>
      <c r="AT573" s="140">
        <f>VLOOKUP(AK573,'[3]17見直し計画'!$A$50:$AJ$584,35,0)</f>
        <v>0</v>
      </c>
      <c r="AU573" s="140">
        <f>VLOOKUP(AK573,'[3]17見直し計画'!$A$50:$AJ$584,36,0)</f>
        <v>0</v>
      </c>
    </row>
    <row r="574" spans="1:47" ht="142.5" hidden="1">
      <c r="B574" s="120" t="s">
        <v>213</v>
      </c>
      <c r="C574" s="120" t="s">
        <v>135</v>
      </c>
      <c r="D574" s="120" t="s">
        <v>136</v>
      </c>
      <c r="E574">
        <f t="shared" si="45"/>
        <v>488</v>
      </c>
      <c r="F574" s="122">
        <v>33</v>
      </c>
      <c r="G574" s="123">
        <v>33</v>
      </c>
      <c r="H574" s="543">
        <v>2201598</v>
      </c>
      <c r="I574" s="424"/>
      <c r="J574" s="543" t="s">
        <v>2665</v>
      </c>
      <c r="K574" s="543" t="s">
        <v>294</v>
      </c>
      <c r="L574" s="543" t="s">
        <v>1182</v>
      </c>
      <c r="M574" s="543" t="s">
        <v>2541</v>
      </c>
      <c r="N574" s="120" t="s">
        <v>186</v>
      </c>
      <c r="O574" s="544" t="s">
        <v>187</v>
      </c>
      <c r="P574" s="321" t="s">
        <v>122</v>
      </c>
      <c r="Q574" s="428" t="s">
        <v>2666</v>
      </c>
      <c r="R574" s="545" t="s">
        <v>2667</v>
      </c>
      <c r="S574" s="429" t="s">
        <v>1816</v>
      </c>
      <c r="T574" s="615" t="s">
        <v>2668</v>
      </c>
      <c r="U574" s="545" t="s">
        <v>2669</v>
      </c>
      <c r="V574" s="545" t="s">
        <v>1974</v>
      </c>
      <c r="W574" s="545" t="s">
        <v>1695</v>
      </c>
      <c r="X574" s="616">
        <v>8104950</v>
      </c>
      <c r="Y574" s="616">
        <v>8104950</v>
      </c>
      <c r="Z574" s="433">
        <f t="shared" si="44"/>
        <v>1</v>
      </c>
      <c r="AA574" s="425" t="s">
        <v>1445</v>
      </c>
      <c r="AB574" s="426"/>
      <c r="AC574" s="434" t="s">
        <v>1445</v>
      </c>
      <c r="AD574" s="582" t="s">
        <v>192</v>
      </c>
      <c r="AE574" s="582"/>
      <c r="AF574" s="582"/>
      <c r="AG574" s="321" t="s">
        <v>1636</v>
      </c>
      <c r="AH574" s="434" t="s">
        <v>1445</v>
      </c>
      <c r="AJ574" s="120"/>
      <c r="AK574" s="120" t="s">
        <v>147</v>
      </c>
      <c r="AL574" s="232" t="str">
        <f>VLOOKUP(AK574,'[3]17見直し計画'!$A$50:$AJ$584,6,0)</f>
        <v>　見直し計画策定以降の新規案件</v>
      </c>
      <c r="AM574" s="140">
        <f>VLOOKUP(AK574,'[3]17見直し計画'!$A$50:$AJ$584,8,0)</f>
        <v>0</v>
      </c>
      <c r="AN574" s="180"/>
      <c r="AO574" s="141">
        <f>VLOOKUP(AK574,'[3]17見直し計画'!$A$50:$AJ$584,11,0)</f>
        <v>0</v>
      </c>
      <c r="AP574" s="140">
        <f>VLOOKUP(AK574,'[3]17見直し計画'!$A$50:$AJ$584,12,0)</f>
        <v>0</v>
      </c>
      <c r="AQ574" s="140">
        <f>VLOOKUP(AK574,'[3]17見直し計画'!$A$50:$AJ$584,13,0)</f>
        <v>0</v>
      </c>
      <c r="AR574" s="140">
        <f>VLOOKUP(AK574,'[3]17見直し計画'!$A$50:$AJ$584,14,0)</f>
        <v>0</v>
      </c>
      <c r="AS574" s="140"/>
      <c r="AT574" s="140">
        <f>VLOOKUP(AK574,'[3]17見直し計画'!$A$50:$AJ$584,35,0)</f>
        <v>0</v>
      </c>
      <c r="AU574" s="140">
        <f>VLOOKUP(AK574,'[3]17見直し計画'!$A$50:$AJ$584,36,0)</f>
        <v>0</v>
      </c>
    </row>
    <row r="575" spans="1:47" ht="71.25">
      <c r="B575" s="291" t="s">
        <v>2670</v>
      </c>
      <c r="C575" s="120" t="s">
        <v>350</v>
      </c>
      <c r="D575" s="120" t="s">
        <v>477</v>
      </c>
      <c r="E575">
        <f t="shared" si="45"/>
        <v>489</v>
      </c>
      <c r="F575" s="122">
        <v>34</v>
      </c>
      <c r="G575" s="123">
        <v>34</v>
      </c>
      <c r="H575" s="543">
        <v>2201667</v>
      </c>
      <c r="I575" s="424"/>
      <c r="J575" s="543" t="s">
        <v>2671</v>
      </c>
      <c r="K575" s="543" t="s">
        <v>2672</v>
      </c>
      <c r="L575" s="543" t="s">
        <v>1821</v>
      </c>
      <c r="M575" s="543" t="s">
        <v>1822</v>
      </c>
      <c r="N575" s="120" t="s">
        <v>138</v>
      </c>
      <c r="O575" s="544" t="s">
        <v>139</v>
      </c>
      <c r="P575" s="321" t="s">
        <v>122</v>
      </c>
      <c r="Q575" s="428" t="s">
        <v>2673</v>
      </c>
      <c r="R575" s="545" t="s">
        <v>2674</v>
      </c>
      <c r="S575" s="429" t="s">
        <v>1816</v>
      </c>
      <c r="T575" s="615" t="s">
        <v>2668</v>
      </c>
      <c r="U575" s="545" t="s">
        <v>2675</v>
      </c>
      <c r="V575" s="545" t="s">
        <v>2676</v>
      </c>
      <c r="W575" s="545" t="s">
        <v>2531</v>
      </c>
      <c r="X575" s="616">
        <v>2515200</v>
      </c>
      <c r="Y575" s="616">
        <v>2515200</v>
      </c>
      <c r="Z575" s="433">
        <f t="shared" si="44"/>
        <v>1</v>
      </c>
      <c r="AA575" s="425" t="s">
        <v>1445</v>
      </c>
      <c r="AB575" s="426"/>
      <c r="AC575" s="434" t="s">
        <v>1445</v>
      </c>
      <c r="AD575" s="582" t="s">
        <v>146</v>
      </c>
      <c r="AE575" s="582"/>
      <c r="AF575" s="582"/>
      <c r="AG575" s="321" t="s">
        <v>1636</v>
      </c>
      <c r="AH575" s="434" t="s">
        <v>1445</v>
      </c>
      <c r="AJ575" s="120"/>
      <c r="AK575" s="120" t="s">
        <v>147</v>
      </c>
      <c r="AL575" s="232" t="str">
        <f>VLOOKUP(AK575,'[3]17見直し計画'!$A$50:$AJ$584,6,0)</f>
        <v>　見直し計画策定以降の新規案件</v>
      </c>
      <c r="AM575" s="140">
        <f>VLOOKUP(AK575,'[3]17見直し計画'!$A$50:$AJ$584,8,0)</f>
        <v>0</v>
      </c>
      <c r="AN575" s="180"/>
      <c r="AO575" s="141">
        <f>VLOOKUP(AK575,'[3]17見直し計画'!$A$50:$AJ$584,11,0)</f>
        <v>0</v>
      </c>
      <c r="AP575" s="140">
        <f>VLOOKUP(AK575,'[3]17見直し計画'!$A$50:$AJ$584,12,0)</f>
        <v>0</v>
      </c>
      <c r="AQ575" s="140">
        <f>VLOOKUP(AK575,'[3]17見直し計画'!$A$50:$AJ$584,13,0)</f>
        <v>0</v>
      </c>
      <c r="AR575" s="140">
        <f>VLOOKUP(AK575,'[3]17見直し計画'!$A$50:$AJ$584,14,0)</f>
        <v>0</v>
      </c>
      <c r="AS575" s="140"/>
      <c r="AT575" s="140">
        <f>VLOOKUP(AK575,'[3]17見直し計画'!$A$50:$AJ$584,35,0)</f>
        <v>0</v>
      </c>
      <c r="AU575" s="140">
        <f>VLOOKUP(AK575,'[3]17見直し計画'!$A$50:$AJ$584,36,0)</f>
        <v>0</v>
      </c>
    </row>
    <row r="576" spans="1:47" ht="142.5" hidden="1">
      <c r="B576" s="120" t="s">
        <v>134</v>
      </c>
      <c r="C576" s="120" t="s">
        <v>135</v>
      </c>
      <c r="D576" s="120" t="s">
        <v>136</v>
      </c>
      <c r="E576">
        <f>SUM(E575+1)</f>
        <v>490</v>
      </c>
      <c r="F576" s="122">
        <v>35</v>
      </c>
      <c r="G576" s="123">
        <v>35</v>
      </c>
      <c r="H576" s="543">
        <v>2201600</v>
      </c>
      <c r="I576" s="424"/>
      <c r="J576" s="543" t="s">
        <v>2677</v>
      </c>
      <c r="K576" s="543" t="s">
        <v>195</v>
      </c>
      <c r="L576" s="543" t="s">
        <v>1182</v>
      </c>
      <c r="M576" s="543" t="s">
        <v>2541</v>
      </c>
      <c r="N576" s="120" t="s">
        <v>138</v>
      </c>
      <c r="O576" s="544" t="s">
        <v>139</v>
      </c>
      <c r="P576" s="321" t="s">
        <v>122</v>
      </c>
      <c r="Q576" s="428" t="s">
        <v>2678</v>
      </c>
      <c r="R576" s="545" t="s">
        <v>2679</v>
      </c>
      <c r="S576" s="429" t="s">
        <v>1816</v>
      </c>
      <c r="T576" s="615" t="s">
        <v>2668</v>
      </c>
      <c r="U576" s="545" t="s">
        <v>1372</v>
      </c>
      <c r="V576" s="545" t="s">
        <v>469</v>
      </c>
      <c r="W576" s="545" t="s">
        <v>1695</v>
      </c>
      <c r="X576" s="616">
        <v>1447424</v>
      </c>
      <c r="Y576" s="616">
        <v>1447424</v>
      </c>
      <c r="Z576" s="433">
        <f t="shared" si="44"/>
        <v>1</v>
      </c>
      <c r="AA576" s="425" t="s">
        <v>1445</v>
      </c>
      <c r="AB576" s="426"/>
      <c r="AC576" s="434" t="s">
        <v>1445</v>
      </c>
      <c r="AD576" s="582" t="s">
        <v>146</v>
      </c>
      <c r="AE576" s="582"/>
      <c r="AF576" s="582"/>
      <c r="AG576" s="321" t="s">
        <v>1636</v>
      </c>
      <c r="AH576" s="434" t="s">
        <v>1445</v>
      </c>
      <c r="AJ576" s="120"/>
      <c r="AK576" s="120" t="s">
        <v>147</v>
      </c>
      <c r="AL576" s="232" t="str">
        <f>VLOOKUP(AK576,'[3]17見直し計画'!$A$50:$AJ$584,6,0)</f>
        <v>　見直し計画策定以降の新規案件</v>
      </c>
      <c r="AM576" s="140">
        <f>VLOOKUP(AK576,'[3]17見直し計画'!$A$50:$AJ$584,8,0)</f>
        <v>0</v>
      </c>
      <c r="AN576" s="180"/>
      <c r="AO576" s="141">
        <f>VLOOKUP(AK576,'[3]17見直し計画'!$A$50:$AJ$584,11,0)</f>
        <v>0</v>
      </c>
      <c r="AP576" s="140">
        <f>VLOOKUP(AK576,'[3]17見直し計画'!$A$50:$AJ$584,12,0)</f>
        <v>0</v>
      </c>
      <c r="AQ576" s="140">
        <f>VLOOKUP(AK576,'[3]17見直し計画'!$A$50:$AJ$584,13,0)</f>
        <v>0</v>
      </c>
      <c r="AR576" s="140">
        <f>VLOOKUP(AK576,'[3]17見直し計画'!$A$50:$AJ$584,14,0)</f>
        <v>0</v>
      </c>
      <c r="AS576" s="140"/>
      <c r="AT576" s="140">
        <f>VLOOKUP(AK576,'[3]17見直し計画'!$A$50:$AJ$584,35,0)</f>
        <v>0</v>
      </c>
      <c r="AU576" s="140">
        <f>VLOOKUP(AK576,'[3]17見直し計画'!$A$50:$AJ$584,36,0)</f>
        <v>0</v>
      </c>
    </row>
    <row r="577" spans="2:47" ht="99.75" hidden="1">
      <c r="B577" s="182"/>
      <c r="C577" s="182"/>
      <c r="D577" s="223" t="s">
        <v>421</v>
      </c>
      <c r="E577">
        <f t="shared" si="45"/>
        <v>491</v>
      </c>
      <c r="F577" s="635">
        <v>36</v>
      </c>
      <c r="G577" s="636">
        <v>1</v>
      </c>
      <c r="H577" s="637">
        <v>2201652</v>
      </c>
      <c r="I577" s="638"/>
      <c r="J577" s="637"/>
      <c r="K577" s="639" t="s">
        <v>345</v>
      </c>
      <c r="L577" s="637" t="s">
        <v>1488</v>
      </c>
      <c r="M577" s="637" t="s">
        <v>2680</v>
      </c>
      <c r="N577" s="640" t="s">
        <v>230</v>
      </c>
      <c r="O577" s="641" t="s">
        <v>139</v>
      </c>
      <c r="P577" s="642" t="s">
        <v>231</v>
      </c>
      <c r="Q577" s="643" t="s">
        <v>2681</v>
      </c>
      <c r="R577" s="644" t="s">
        <v>2682</v>
      </c>
      <c r="S577" s="645" t="s">
        <v>1816</v>
      </c>
      <c r="T577" s="646" t="s">
        <v>2652</v>
      </c>
      <c r="U577" s="644" t="s">
        <v>2683</v>
      </c>
      <c r="V577" s="644" t="s">
        <v>2684</v>
      </c>
      <c r="W577" s="644" t="s">
        <v>2685</v>
      </c>
      <c r="X577" s="647">
        <v>126746653</v>
      </c>
      <c r="Y577" s="647">
        <v>124028780</v>
      </c>
      <c r="Z577" s="648">
        <f t="shared" si="44"/>
        <v>0.97799999999999998</v>
      </c>
      <c r="AA577" s="649" t="s">
        <v>1445</v>
      </c>
      <c r="AB577" s="644"/>
      <c r="AC577" s="650">
        <v>6</v>
      </c>
      <c r="AD577" s="640" t="s">
        <v>237</v>
      </c>
      <c r="AE577" s="651"/>
      <c r="AF577" s="651"/>
      <c r="AG577" s="642" t="s">
        <v>2390</v>
      </c>
      <c r="AH577" s="650">
        <v>6</v>
      </c>
      <c r="AJ577" s="120"/>
      <c r="AK577" s="120" t="s">
        <v>147</v>
      </c>
      <c r="AL577" s="232" t="str">
        <f>VLOOKUP(AK577,'[3]17見直し計画'!$A$50:$AJ$584,6,0)</f>
        <v>　見直し計画策定以降の新規案件</v>
      </c>
      <c r="AM577" s="140">
        <f>VLOOKUP(AK577,'[3]17見直し計画'!$A$50:$AJ$584,8,0)</f>
        <v>0</v>
      </c>
      <c r="AN577" s="180"/>
      <c r="AO577" s="141">
        <f>VLOOKUP(AK577,'[3]17見直し計画'!$A$50:$AJ$584,11,0)</f>
        <v>0</v>
      </c>
      <c r="AP577" s="140">
        <f>VLOOKUP(AK577,'[3]17見直し計画'!$A$50:$AJ$584,12,0)</f>
        <v>0</v>
      </c>
      <c r="AQ577" s="140">
        <f>VLOOKUP(AK577,'[3]17見直し計画'!$A$50:$AJ$584,13,0)</f>
        <v>0</v>
      </c>
      <c r="AR577" s="140">
        <f>VLOOKUP(AK577,'[3]17見直し計画'!$A$50:$AJ$584,14,0)</f>
        <v>0</v>
      </c>
      <c r="AS577" s="140"/>
      <c r="AT577" s="140">
        <f>VLOOKUP(AK577,'[3]17見直し計画'!$A$50:$AJ$584,35,0)</f>
        <v>0</v>
      </c>
      <c r="AU577" s="140">
        <f>VLOOKUP(AK577,'[3]17見直し計画'!$A$50:$AJ$584,36,0)</f>
        <v>0</v>
      </c>
    </row>
    <row r="578" spans="2:47" ht="99.75" hidden="1">
      <c r="B578" s="182"/>
      <c r="C578" s="182"/>
      <c r="D578" s="223" t="s">
        <v>421</v>
      </c>
      <c r="E578">
        <f t="shared" si="45"/>
        <v>492</v>
      </c>
      <c r="F578" s="635">
        <v>37</v>
      </c>
      <c r="G578" s="636">
        <v>2</v>
      </c>
      <c r="H578" s="637">
        <v>2300006</v>
      </c>
      <c r="I578" s="638"/>
      <c r="J578" s="637"/>
      <c r="K578" s="639" t="s">
        <v>345</v>
      </c>
      <c r="L578" s="637" t="s">
        <v>2686</v>
      </c>
      <c r="M578" s="637" t="s">
        <v>2687</v>
      </c>
      <c r="N578" s="640" t="s">
        <v>230</v>
      </c>
      <c r="O578" s="641" t="s">
        <v>139</v>
      </c>
      <c r="P578" s="642" t="s">
        <v>231</v>
      </c>
      <c r="Q578" s="643" t="s">
        <v>2688</v>
      </c>
      <c r="R578" s="644" t="s">
        <v>2689</v>
      </c>
      <c r="S578" s="645" t="s">
        <v>1816</v>
      </c>
      <c r="T578" s="646" t="s">
        <v>2664</v>
      </c>
      <c r="U578" s="644" t="s">
        <v>2690</v>
      </c>
      <c r="V578" s="644" t="s">
        <v>2691</v>
      </c>
      <c r="W578" s="644" t="s">
        <v>2685</v>
      </c>
      <c r="X578" s="647">
        <v>86817113</v>
      </c>
      <c r="Y578" s="647">
        <v>86410970</v>
      </c>
      <c r="Z578" s="648">
        <f t="shared" si="44"/>
        <v>0.995</v>
      </c>
      <c r="AA578" s="649" t="s">
        <v>1445</v>
      </c>
      <c r="AB578" s="644"/>
      <c r="AC578" s="650">
        <v>6</v>
      </c>
      <c r="AD578" s="640" t="s">
        <v>237</v>
      </c>
      <c r="AE578" s="651"/>
      <c r="AF578" s="651"/>
      <c r="AG578" s="642" t="s">
        <v>2390</v>
      </c>
      <c r="AH578" s="650">
        <v>6</v>
      </c>
      <c r="AJ578" s="120"/>
      <c r="AK578" s="120" t="s">
        <v>147</v>
      </c>
      <c r="AL578" s="232" t="str">
        <f>VLOOKUP(AK578,'[3]17見直し計画'!$A$50:$AJ$584,6,0)</f>
        <v>　見直し計画策定以降の新規案件</v>
      </c>
      <c r="AM578" s="140">
        <f>VLOOKUP(AK578,'[3]17見直し計画'!$A$50:$AJ$584,8,0)</f>
        <v>0</v>
      </c>
      <c r="AN578" s="180"/>
      <c r="AO578" s="141">
        <f>VLOOKUP(AK578,'[3]17見直し計画'!$A$50:$AJ$584,11,0)</f>
        <v>0</v>
      </c>
      <c r="AP578" s="140">
        <f>VLOOKUP(AK578,'[3]17見直し計画'!$A$50:$AJ$584,12,0)</f>
        <v>0</v>
      </c>
      <c r="AQ578" s="140">
        <f>VLOOKUP(AK578,'[3]17見直し計画'!$A$50:$AJ$584,13,0)</f>
        <v>0</v>
      </c>
      <c r="AR578" s="140">
        <f>VLOOKUP(AK578,'[3]17見直し計画'!$A$50:$AJ$584,14,0)</f>
        <v>0</v>
      </c>
      <c r="AS578" s="140"/>
      <c r="AT578" s="140">
        <f>VLOOKUP(AK578,'[3]17見直し計画'!$A$50:$AJ$584,35,0)</f>
        <v>0</v>
      </c>
      <c r="AU578" s="140">
        <f>VLOOKUP(AK578,'[3]17見直し計画'!$A$50:$AJ$584,36,0)</f>
        <v>0</v>
      </c>
    </row>
    <row r="579" spans="2:47" ht="99.75" hidden="1" customHeight="1">
      <c r="B579" s="120" t="s">
        <v>2692</v>
      </c>
      <c r="C579" s="120" t="s">
        <v>135</v>
      </c>
      <c r="D579" s="120" t="s">
        <v>136</v>
      </c>
      <c r="E579">
        <f t="shared" si="45"/>
        <v>493</v>
      </c>
      <c r="F579" s="122">
        <v>1</v>
      </c>
      <c r="G579" s="122">
        <v>1</v>
      </c>
      <c r="H579" s="412">
        <v>2201605</v>
      </c>
      <c r="I579" s="412"/>
      <c r="J579" s="412" t="s">
        <v>2693</v>
      </c>
      <c r="K579" s="412" t="s">
        <v>2694</v>
      </c>
      <c r="L579" s="412" t="s">
        <v>1182</v>
      </c>
      <c r="M579" s="412" t="s">
        <v>2541</v>
      </c>
      <c r="N579" s="120" t="s">
        <v>1003</v>
      </c>
      <c r="O579" s="652" t="s">
        <v>139</v>
      </c>
      <c r="P579" s="555" t="s">
        <v>122</v>
      </c>
      <c r="Q579" s="653">
        <v>1</v>
      </c>
      <c r="R579" s="130" t="s">
        <v>2695</v>
      </c>
      <c r="S579" s="263" t="s">
        <v>125</v>
      </c>
      <c r="T579" s="654">
        <v>40575</v>
      </c>
      <c r="U579" s="133" t="s">
        <v>2696</v>
      </c>
      <c r="V579" s="134" t="s">
        <v>2697</v>
      </c>
      <c r="W579" s="130" t="s">
        <v>1695</v>
      </c>
      <c r="X579" s="265">
        <v>3360000</v>
      </c>
      <c r="Y579" s="241">
        <v>3360000</v>
      </c>
      <c r="Z579" s="655">
        <v>1</v>
      </c>
      <c r="AA579" s="655" t="s">
        <v>1445</v>
      </c>
      <c r="AB579" s="656"/>
      <c r="AC579" s="245" t="s">
        <v>129</v>
      </c>
      <c r="AD579" s="657" t="s">
        <v>146</v>
      </c>
      <c r="AE579" s="582"/>
      <c r="AF579" s="582"/>
      <c r="AG579" s="658" t="s">
        <v>131</v>
      </c>
      <c r="AH579" s="555">
        <v>0</v>
      </c>
      <c r="AJ579" s="120"/>
      <c r="AK579" s="120" t="s">
        <v>147</v>
      </c>
      <c r="AL579" s="232" t="str">
        <f>VLOOKUP(AK579,'[3]17見直し計画'!$A$50:$AJ$584,6,0)</f>
        <v>　見直し計画策定以降の新規案件</v>
      </c>
      <c r="AM579" s="140">
        <f>VLOOKUP(AK579,'[3]17見直し計画'!$A$50:$AJ$584,8,0)</f>
        <v>0</v>
      </c>
      <c r="AN579" s="180"/>
      <c r="AO579" s="141">
        <f>VLOOKUP(AK579,'[3]17見直し計画'!$A$50:$AJ$584,11,0)</f>
        <v>0</v>
      </c>
      <c r="AP579" s="140">
        <f>VLOOKUP(AK579,'[3]17見直し計画'!$A$50:$AJ$584,12,0)</f>
        <v>0</v>
      </c>
      <c r="AQ579" s="140">
        <f>VLOOKUP(AK579,'[3]17見直し計画'!$A$50:$AJ$584,13,0)</f>
        <v>0</v>
      </c>
      <c r="AR579" s="140">
        <f>VLOOKUP(AK579,'[3]17見直し計画'!$A$50:$AJ$584,14,0)</f>
        <v>0</v>
      </c>
      <c r="AS579" s="140"/>
      <c r="AT579" s="140">
        <f>VLOOKUP(AK579,'[3]17見直し計画'!$A$50:$AJ$584,35,0)</f>
        <v>0</v>
      </c>
      <c r="AU579" s="140">
        <f>VLOOKUP(AK579,'[3]17見直し計画'!$A$50:$AJ$584,36,0)</f>
        <v>0</v>
      </c>
    </row>
    <row r="580" spans="2:47" ht="99.75" hidden="1" customHeight="1">
      <c r="B580" s="120" t="s">
        <v>2692</v>
      </c>
      <c r="C580" s="120" t="s">
        <v>135</v>
      </c>
      <c r="D580" s="120" t="s">
        <v>136</v>
      </c>
      <c r="E580">
        <f t="shared" si="45"/>
        <v>494</v>
      </c>
      <c r="F580" s="122">
        <v>2</v>
      </c>
      <c r="G580" s="122">
        <v>2</v>
      </c>
      <c r="H580" s="412">
        <v>2201608</v>
      </c>
      <c r="I580" s="412"/>
      <c r="J580" s="412" t="s">
        <v>2698</v>
      </c>
      <c r="K580" s="412" t="s">
        <v>195</v>
      </c>
      <c r="L580" s="412" t="s">
        <v>1182</v>
      </c>
      <c r="M580" s="412" t="s">
        <v>2541</v>
      </c>
      <c r="N580" s="120" t="s">
        <v>1003</v>
      </c>
      <c r="O580" s="659" t="s">
        <v>139</v>
      </c>
      <c r="P580" s="555" t="s">
        <v>122</v>
      </c>
      <c r="Q580" s="653">
        <v>2</v>
      </c>
      <c r="R580" s="130" t="s">
        <v>1505</v>
      </c>
      <c r="S580" s="263" t="s">
        <v>125</v>
      </c>
      <c r="T580" s="654">
        <v>40575</v>
      </c>
      <c r="U580" s="133" t="s">
        <v>468</v>
      </c>
      <c r="V580" s="134" t="s">
        <v>469</v>
      </c>
      <c r="W580" s="130" t="s">
        <v>1695</v>
      </c>
      <c r="X580" s="265">
        <v>2718228</v>
      </c>
      <c r="Y580" s="241">
        <v>2718228</v>
      </c>
      <c r="Z580" s="660">
        <v>1</v>
      </c>
      <c r="AA580" s="660" t="s">
        <v>1445</v>
      </c>
      <c r="AB580" s="656"/>
      <c r="AC580" s="245" t="s">
        <v>129</v>
      </c>
      <c r="AD580" s="657" t="s">
        <v>146</v>
      </c>
      <c r="AE580" s="582"/>
      <c r="AF580" s="582"/>
      <c r="AG580" s="658" t="s">
        <v>131</v>
      </c>
      <c r="AH580" s="555">
        <v>0</v>
      </c>
      <c r="AJ580" s="120"/>
      <c r="AK580" s="120" t="s">
        <v>147</v>
      </c>
      <c r="AL580" s="232" t="str">
        <f>VLOOKUP(AK580,'[3]17見直し計画'!$A$50:$AJ$584,6,0)</f>
        <v>　見直し計画策定以降の新規案件</v>
      </c>
      <c r="AM580" s="140">
        <f>VLOOKUP(AK580,'[3]17見直し計画'!$A$50:$AJ$584,8,0)</f>
        <v>0</v>
      </c>
      <c r="AN580" s="180"/>
      <c r="AO580" s="141">
        <f>VLOOKUP(AK580,'[3]17見直し計画'!$A$50:$AJ$584,11,0)</f>
        <v>0</v>
      </c>
      <c r="AP580" s="140">
        <f>VLOOKUP(AK580,'[3]17見直し計画'!$A$50:$AJ$584,12,0)</f>
        <v>0</v>
      </c>
      <c r="AQ580" s="140">
        <f>VLOOKUP(AK580,'[3]17見直し計画'!$A$50:$AJ$584,13,0)</f>
        <v>0</v>
      </c>
      <c r="AR580" s="140">
        <f>VLOOKUP(AK580,'[3]17見直し計画'!$A$50:$AJ$584,14,0)</f>
        <v>0</v>
      </c>
      <c r="AS580" s="140"/>
      <c r="AT580" s="140">
        <f>VLOOKUP(AK580,'[3]17見直し計画'!$A$50:$AJ$584,35,0)</f>
        <v>0</v>
      </c>
      <c r="AU580" s="140">
        <f>VLOOKUP(AK580,'[3]17見直し計画'!$A$50:$AJ$584,36,0)</f>
        <v>0</v>
      </c>
    </row>
    <row r="581" spans="2:47" ht="99.75" hidden="1" customHeight="1">
      <c r="B581" s="120" t="s">
        <v>2692</v>
      </c>
      <c r="C581" s="120" t="s">
        <v>135</v>
      </c>
      <c r="D581" s="120" t="s">
        <v>136</v>
      </c>
      <c r="E581">
        <f t="shared" si="45"/>
        <v>495</v>
      </c>
      <c r="F581" s="122">
        <v>3</v>
      </c>
      <c r="G581" s="122">
        <v>3</v>
      </c>
      <c r="H581" s="412">
        <v>2201616</v>
      </c>
      <c r="I581" s="412"/>
      <c r="J581" s="412" t="s">
        <v>2699</v>
      </c>
      <c r="K581" s="412" t="s">
        <v>195</v>
      </c>
      <c r="L581" s="412" t="s">
        <v>1182</v>
      </c>
      <c r="M581" s="412" t="s">
        <v>2541</v>
      </c>
      <c r="N581" s="120" t="s">
        <v>1003</v>
      </c>
      <c r="O581" s="659" t="s">
        <v>139</v>
      </c>
      <c r="P581" s="555" t="s">
        <v>122</v>
      </c>
      <c r="Q581" s="653">
        <v>3</v>
      </c>
      <c r="R581" s="130" t="s">
        <v>2700</v>
      </c>
      <c r="S581" s="263" t="s">
        <v>125</v>
      </c>
      <c r="T581" s="654">
        <v>40576</v>
      </c>
      <c r="U581" s="133" t="s">
        <v>468</v>
      </c>
      <c r="V581" s="134" t="s">
        <v>469</v>
      </c>
      <c r="W581" s="130" t="s">
        <v>1695</v>
      </c>
      <c r="X581" s="265">
        <v>10889874</v>
      </c>
      <c r="Y581" s="241">
        <v>10889874</v>
      </c>
      <c r="Z581" s="660">
        <v>1</v>
      </c>
      <c r="AA581" s="660" t="s">
        <v>1445</v>
      </c>
      <c r="AB581" s="656"/>
      <c r="AC581" s="245" t="s">
        <v>129</v>
      </c>
      <c r="AD581" s="657" t="s">
        <v>146</v>
      </c>
      <c r="AE581" s="582"/>
      <c r="AF581" s="582"/>
      <c r="AG581" s="658" t="s">
        <v>131</v>
      </c>
      <c r="AH581" s="555">
        <v>0</v>
      </c>
      <c r="AJ581" s="120"/>
      <c r="AK581" s="120" t="s">
        <v>147</v>
      </c>
      <c r="AL581" s="232" t="str">
        <f>VLOOKUP(AK581,'[3]17見直し計画'!$A$50:$AJ$584,6,0)</f>
        <v>　見直し計画策定以降の新規案件</v>
      </c>
      <c r="AM581" s="140">
        <f>VLOOKUP(AK581,'[3]17見直し計画'!$A$50:$AJ$584,8,0)</f>
        <v>0</v>
      </c>
      <c r="AN581" s="180"/>
      <c r="AO581" s="141">
        <f>VLOOKUP(AK581,'[3]17見直し計画'!$A$50:$AJ$584,11,0)</f>
        <v>0</v>
      </c>
      <c r="AP581" s="140">
        <f>VLOOKUP(AK581,'[3]17見直し計画'!$A$50:$AJ$584,12,0)</f>
        <v>0</v>
      </c>
      <c r="AQ581" s="140">
        <f>VLOOKUP(AK581,'[3]17見直し計画'!$A$50:$AJ$584,13,0)</f>
        <v>0</v>
      </c>
      <c r="AR581" s="140">
        <f>VLOOKUP(AK581,'[3]17見直し計画'!$A$50:$AJ$584,14,0)</f>
        <v>0</v>
      </c>
      <c r="AS581" s="140"/>
      <c r="AT581" s="140">
        <f>VLOOKUP(AK581,'[3]17見直し計画'!$A$50:$AJ$584,35,0)</f>
        <v>0</v>
      </c>
      <c r="AU581" s="140">
        <f>VLOOKUP(AK581,'[3]17見直し計画'!$A$50:$AJ$584,36,0)</f>
        <v>0</v>
      </c>
    </row>
    <row r="582" spans="2:47" ht="99.75" hidden="1" customHeight="1">
      <c r="B582" s="182"/>
      <c r="C582" s="182"/>
      <c r="D582" s="223" t="s">
        <v>421</v>
      </c>
      <c r="E582">
        <f t="shared" si="45"/>
        <v>496</v>
      </c>
      <c r="F582" s="185">
        <v>4</v>
      </c>
      <c r="G582" s="185">
        <v>4</v>
      </c>
      <c r="H582" s="406">
        <v>2201655</v>
      </c>
      <c r="I582" s="406"/>
      <c r="J582" s="406" t="s">
        <v>2701</v>
      </c>
      <c r="K582" s="406" t="s">
        <v>433</v>
      </c>
      <c r="L582" s="406" t="s">
        <v>1190</v>
      </c>
      <c r="M582" s="406" t="s">
        <v>1448</v>
      </c>
      <c r="N582" s="182" t="s">
        <v>2702</v>
      </c>
      <c r="O582" s="661" t="s">
        <v>121</v>
      </c>
      <c r="P582" s="328" t="s">
        <v>2251</v>
      </c>
      <c r="Q582" s="662">
        <v>4</v>
      </c>
      <c r="R582" s="193" t="s">
        <v>2703</v>
      </c>
      <c r="S582" s="273" t="s">
        <v>125</v>
      </c>
      <c r="T582" s="663">
        <v>40581</v>
      </c>
      <c r="U582" s="196" t="s">
        <v>1620</v>
      </c>
      <c r="V582" s="197" t="s">
        <v>781</v>
      </c>
      <c r="W582" s="193" t="s">
        <v>1747</v>
      </c>
      <c r="X582" s="275">
        <v>7990000</v>
      </c>
      <c r="Y582" s="331">
        <v>7807092</v>
      </c>
      <c r="Z582" s="664">
        <v>0.97699999999999998</v>
      </c>
      <c r="AA582" s="664">
        <v>1</v>
      </c>
      <c r="AB582" s="665"/>
      <c r="AC582" s="363">
        <v>2</v>
      </c>
      <c r="AD582" s="666" t="s">
        <v>1249</v>
      </c>
      <c r="AE582" s="599"/>
      <c r="AF582" s="599"/>
      <c r="AG582" s="407" t="s">
        <v>131</v>
      </c>
      <c r="AH582" s="553">
        <v>2</v>
      </c>
      <c r="AI582" s="184"/>
      <c r="AJ582" s="182"/>
      <c r="AK582" s="182" t="s">
        <v>147</v>
      </c>
      <c r="AL582" s="231" t="str">
        <f>VLOOKUP(AK582,'[3]17見直し計画'!$A$50:$AJ$584,6,0)</f>
        <v>　見直し計画策定以降の新規案件</v>
      </c>
      <c r="AM582" s="204">
        <f>VLOOKUP(AK582,'[3]17見直し計画'!$A$50:$AJ$584,8,0)</f>
        <v>0</v>
      </c>
      <c r="AN582" s="224"/>
      <c r="AO582" s="205">
        <f>VLOOKUP(AK582,'[3]17見直し計画'!$A$50:$AJ$584,11,0)</f>
        <v>0</v>
      </c>
      <c r="AP582" s="204">
        <f>VLOOKUP(AK582,'[3]17見直し計画'!$A$50:$AJ$584,12,0)</f>
        <v>0</v>
      </c>
      <c r="AQ582" s="204">
        <f>VLOOKUP(AK582,'[3]17見直し計画'!$A$50:$AJ$584,13,0)</f>
        <v>0</v>
      </c>
      <c r="AR582" s="204">
        <f>VLOOKUP(AK582,'[3]17見直し計画'!$A$50:$AJ$584,14,0)</f>
        <v>0</v>
      </c>
      <c r="AS582" s="204"/>
      <c r="AT582" s="204">
        <f>VLOOKUP(AK582,'[3]17見直し計画'!$A$50:$AJ$584,35,0)</f>
        <v>0</v>
      </c>
      <c r="AU582" s="204">
        <f>VLOOKUP(AK582,'[3]17見直し計画'!$A$50:$AJ$584,36,0)</f>
        <v>0</v>
      </c>
    </row>
    <row r="583" spans="2:47" ht="99.75" hidden="1" customHeight="1">
      <c r="B583" s="120" t="s">
        <v>218</v>
      </c>
      <c r="C583" s="120" t="s">
        <v>135</v>
      </c>
      <c r="D583" s="120" t="s">
        <v>136</v>
      </c>
      <c r="E583">
        <f t="shared" si="45"/>
        <v>497</v>
      </c>
      <c r="F583" s="122">
        <v>5</v>
      </c>
      <c r="G583" s="122">
        <v>5</v>
      </c>
      <c r="H583" s="412">
        <v>2201578</v>
      </c>
      <c r="I583" s="412"/>
      <c r="J583" s="412" t="s">
        <v>2704</v>
      </c>
      <c r="K583" s="412" t="s">
        <v>2705</v>
      </c>
      <c r="L583" s="412" t="s">
        <v>1190</v>
      </c>
      <c r="M583" s="412" t="s">
        <v>2706</v>
      </c>
      <c r="N583" s="120" t="s">
        <v>1003</v>
      </c>
      <c r="O583" s="659" t="s">
        <v>139</v>
      </c>
      <c r="P583" s="555" t="s">
        <v>122</v>
      </c>
      <c r="Q583" s="653">
        <v>5</v>
      </c>
      <c r="R583" s="130" t="s">
        <v>2707</v>
      </c>
      <c r="S583" s="263" t="s">
        <v>125</v>
      </c>
      <c r="T583" s="654">
        <v>40582</v>
      </c>
      <c r="U583" s="133" t="s">
        <v>1413</v>
      </c>
      <c r="V583" s="134" t="s">
        <v>2708</v>
      </c>
      <c r="W583" s="130" t="s">
        <v>2709</v>
      </c>
      <c r="X583" s="265">
        <v>4355051</v>
      </c>
      <c r="Y583" s="241">
        <v>4204818</v>
      </c>
      <c r="Z583" s="667">
        <v>0.96499999999999997</v>
      </c>
      <c r="AA583" s="667" t="s">
        <v>1445</v>
      </c>
      <c r="AB583" s="656"/>
      <c r="AC583" s="245" t="s">
        <v>129</v>
      </c>
      <c r="AD583" s="657" t="s">
        <v>146</v>
      </c>
      <c r="AE583" s="582"/>
      <c r="AF583" s="582"/>
      <c r="AG583" s="658" t="s">
        <v>131</v>
      </c>
      <c r="AH583" s="555">
        <v>0</v>
      </c>
      <c r="AJ583" s="120"/>
      <c r="AK583" s="120" t="s">
        <v>147</v>
      </c>
      <c r="AL583" s="232" t="str">
        <f>VLOOKUP(AK583,'[3]17見直し計画'!$A$50:$AJ$584,6,0)</f>
        <v>　見直し計画策定以降の新規案件</v>
      </c>
      <c r="AM583" s="140">
        <f>VLOOKUP(AK583,'[3]17見直し計画'!$A$50:$AJ$584,8,0)</f>
        <v>0</v>
      </c>
      <c r="AN583" s="180"/>
      <c r="AO583" s="141">
        <f>VLOOKUP(AK583,'[3]17見直し計画'!$A$50:$AJ$584,11,0)</f>
        <v>0</v>
      </c>
      <c r="AP583" s="140">
        <f>VLOOKUP(AK583,'[3]17見直し計画'!$A$50:$AJ$584,12,0)</f>
        <v>0</v>
      </c>
      <c r="AQ583" s="140">
        <f>VLOOKUP(AK583,'[3]17見直し計画'!$A$50:$AJ$584,13,0)</f>
        <v>0</v>
      </c>
      <c r="AR583" s="140">
        <f>VLOOKUP(AK583,'[3]17見直し計画'!$A$50:$AJ$584,14,0)</f>
        <v>0</v>
      </c>
      <c r="AS583" s="140"/>
      <c r="AT583" s="140">
        <f>VLOOKUP(AK583,'[3]17見直し計画'!$A$50:$AJ$584,35,0)</f>
        <v>0</v>
      </c>
      <c r="AU583" s="140">
        <f>VLOOKUP(AK583,'[3]17見直し計画'!$A$50:$AJ$584,36,0)</f>
        <v>0</v>
      </c>
    </row>
    <row r="584" spans="2:47" ht="99.75" hidden="1" customHeight="1">
      <c r="B584" s="631" t="s">
        <v>2692</v>
      </c>
      <c r="C584" s="120" t="s">
        <v>135</v>
      </c>
      <c r="D584" s="120" t="s">
        <v>136</v>
      </c>
      <c r="E584">
        <f t="shared" si="45"/>
        <v>498</v>
      </c>
      <c r="F584" s="122">
        <v>6</v>
      </c>
      <c r="G584" s="122">
        <v>6</v>
      </c>
      <c r="H584" s="412">
        <v>2201590</v>
      </c>
      <c r="I584" s="412"/>
      <c r="J584" s="412" t="s">
        <v>2710</v>
      </c>
      <c r="K584" s="412" t="s">
        <v>866</v>
      </c>
      <c r="L584" s="412" t="s">
        <v>1182</v>
      </c>
      <c r="M584" s="412" t="s">
        <v>2541</v>
      </c>
      <c r="N584" s="120" t="s">
        <v>1003</v>
      </c>
      <c r="O584" s="659" t="s">
        <v>139</v>
      </c>
      <c r="P584" s="555" t="s">
        <v>122</v>
      </c>
      <c r="Q584" s="653">
        <v>6</v>
      </c>
      <c r="R584" s="130" t="s">
        <v>2711</v>
      </c>
      <c r="S584" s="263" t="s">
        <v>125</v>
      </c>
      <c r="T584" s="654">
        <v>40583</v>
      </c>
      <c r="U584" s="133" t="s">
        <v>1669</v>
      </c>
      <c r="V584" s="134" t="s">
        <v>449</v>
      </c>
      <c r="W584" s="130" t="s">
        <v>1695</v>
      </c>
      <c r="X584" s="265">
        <v>2468523</v>
      </c>
      <c r="Y584" s="241">
        <v>2468523</v>
      </c>
      <c r="Z584" s="667">
        <v>1</v>
      </c>
      <c r="AA584" s="667" t="s">
        <v>1445</v>
      </c>
      <c r="AB584" s="656"/>
      <c r="AC584" s="245" t="s">
        <v>129</v>
      </c>
      <c r="AD584" s="657" t="s">
        <v>146</v>
      </c>
      <c r="AE584" s="582"/>
      <c r="AF584" s="582"/>
      <c r="AG584" s="658" t="s">
        <v>131</v>
      </c>
      <c r="AH584" s="555">
        <v>0</v>
      </c>
      <c r="AJ584" s="120"/>
      <c r="AK584" s="120" t="s">
        <v>147</v>
      </c>
      <c r="AL584" s="232" t="str">
        <f>VLOOKUP(AK584,'[3]17見直し計画'!$A$50:$AJ$584,6,0)</f>
        <v>　見直し計画策定以降の新規案件</v>
      </c>
      <c r="AM584" s="140">
        <f>VLOOKUP(AK584,'[3]17見直し計画'!$A$50:$AJ$584,8,0)</f>
        <v>0</v>
      </c>
      <c r="AN584" s="180"/>
      <c r="AO584" s="141">
        <f>VLOOKUP(AK584,'[3]17見直し計画'!$A$50:$AJ$584,11,0)</f>
        <v>0</v>
      </c>
      <c r="AP584" s="140">
        <f>VLOOKUP(AK584,'[3]17見直し計画'!$A$50:$AJ$584,12,0)</f>
        <v>0</v>
      </c>
      <c r="AQ584" s="140">
        <f>VLOOKUP(AK584,'[3]17見直し計画'!$A$50:$AJ$584,13,0)</f>
        <v>0</v>
      </c>
      <c r="AR584" s="140">
        <f>VLOOKUP(AK584,'[3]17見直し計画'!$A$50:$AJ$584,14,0)</f>
        <v>0</v>
      </c>
      <c r="AS584" s="140"/>
      <c r="AT584" s="140">
        <f>VLOOKUP(AK584,'[3]17見直し計画'!$A$50:$AJ$584,35,0)</f>
        <v>0</v>
      </c>
      <c r="AU584" s="140">
        <f>VLOOKUP(AK584,'[3]17見直し計画'!$A$50:$AJ$584,36,0)</f>
        <v>0</v>
      </c>
    </row>
    <row r="585" spans="2:47" ht="99.75" hidden="1" customHeight="1">
      <c r="B585" s="631" t="s">
        <v>2692</v>
      </c>
      <c r="C585" s="120" t="s">
        <v>135</v>
      </c>
      <c r="D585" s="120" t="s">
        <v>136</v>
      </c>
      <c r="E585">
        <f t="shared" si="45"/>
        <v>499</v>
      </c>
      <c r="F585" s="122">
        <v>7</v>
      </c>
      <c r="G585" s="122">
        <v>7</v>
      </c>
      <c r="H585" s="412">
        <v>2201671</v>
      </c>
      <c r="I585" s="412"/>
      <c r="J585" s="412" t="s">
        <v>2712</v>
      </c>
      <c r="K585" s="412" t="s">
        <v>195</v>
      </c>
      <c r="L585" s="412" t="s">
        <v>1182</v>
      </c>
      <c r="M585" s="412" t="s">
        <v>2541</v>
      </c>
      <c r="N585" s="120" t="s">
        <v>1003</v>
      </c>
      <c r="O585" s="659" t="s">
        <v>139</v>
      </c>
      <c r="P585" s="555" t="s">
        <v>122</v>
      </c>
      <c r="Q585" s="653">
        <v>7</v>
      </c>
      <c r="R585" s="130" t="s">
        <v>2713</v>
      </c>
      <c r="S585" s="263" t="s">
        <v>125</v>
      </c>
      <c r="T585" s="654">
        <v>40584</v>
      </c>
      <c r="U585" s="133" t="s">
        <v>222</v>
      </c>
      <c r="V585" s="134" t="s">
        <v>333</v>
      </c>
      <c r="W585" s="130" t="s">
        <v>1695</v>
      </c>
      <c r="X585" s="265">
        <v>4430580</v>
      </c>
      <c r="Y585" s="241">
        <v>4430580</v>
      </c>
      <c r="Z585" s="667">
        <v>1</v>
      </c>
      <c r="AA585" s="667" t="s">
        <v>1445</v>
      </c>
      <c r="AB585" s="656"/>
      <c r="AC585" s="245" t="s">
        <v>129</v>
      </c>
      <c r="AD585" s="657" t="s">
        <v>146</v>
      </c>
      <c r="AE585" s="582"/>
      <c r="AF585" s="582"/>
      <c r="AG585" s="658" t="s">
        <v>131</v>
      </c>
      <c r="AH585" s="555">
        <v>0</v>
      </c>
      <c r="AJ585" s="120"/>
      <c r="AK585" s="120" t="s">
        <v>147</v>
      </c>
      <c r="AL585" s="232" t="str">
        <f>VLOOKUP(AK585,'[3]17見直し計画'!$A$50:$AJ$584,6,0)</f>
        <v>　見直し計画策定以降の新規案件</v>
      </c>
      <c r="AM585" s="140">
        <f>VLOOKUP(AK585,'[3]17見直し計画'!$A$50:$AJ$584,8,0)</f>
        <v>0</v>
      </c>
      <c r="AN585" s="180"/>
      <c r="AO585" s="141">
        <f>VLOOKUP(AK585,'[3]17見直し計画'!$A$50:$AJ$584,11,0)</f>
        <v>0</v>
      </c>
      <c r="AP585" s="140">
        <f>VLOOKUP(AK585,'[3]17見直し計画'!$A$50:$AJ$584,12,0)</f>
        <v>0</v>
      </c>
      <c r="AQ585" s="140">
        <f>VLOOKUP(AK585,'[3]17見直し計画'!$A$50:$AJ$584,13,0)</f>
        <v>0</v>
      </c>
      <c r="AR585" s="140">
        <f>VLOOKUP(AK585,'[3]17見直し計画'!$A$50:$AJ$584,14,0)</f>
        <v>0</v>
      </c>
      <c r="AS585" s="140"/>
      <c r="AT585" s="140">
        <f>VLOOKUP(AK585,'[3]17見直し計画'!$A$50:$AJ$584,35,0)</f>
        <v>0</v>
      </c>
      <c r="AU585" s="140">
        <f>VLOOKUP(AK585,'[3]17見直し計画'!$A$50:$AJ$584,36,0)</f>
        <v>0</v>
      </c>
    </row>
    <row r="586" spans="2:47" ht="99.75" hidden="1" customHeight="1">
      <c r="B586" s="631" t="s">
        <v>2692</v>
      </c>
      <c r="C586" s="120" t="s">
        <v>135</v>
      </c>
      <c r="D586" s="120" t="s">
        <v>136</v>
      </c>
      <c r="E586">
        <f t="shared" si="45"/>
        <v>500</v>
      </c>
      <c r="F586" s="122">
        <v>8</v>
      </c>
      <c r="G586" s="122">
        <v>8</v>
      </c>
      <c r="H586" s="412">
        <v>2201683</v>
      </c>
      <c r="I586" s="412"/>
      <c r="J586" s="412" t="s">
        <v>2714</v>
      </c>
      <c r="K586" s="412" t="s">
        <v>195</v>
      </c>
      <c r="L586" s="412" t="s">
        <v>1182</v>
      </c>
      <c r="M586" s="412" t="s">
        <v>2541</v>
      </c>
      <c r="N586" s="120" t="s">
        <v>1003</v>
      </c>
      <c r="O586" s="659" t="s">
        <v>139</v>
      </c>
      <c r="P586" s="555" t="s">
        <v>122</v>
      </c>
      <c r="Q586" s="653">
        <v>8</v>
      </c>
      <c r="R586" s="130" t="s">
        <v>2715</v>
      </c>
      <c r="S586" s="263" t="s">
        <v>125</v>
      </c>
      <c r="T586" s="654">
        <v>40588</v>
      </c>
      <c r="U586" s="133" t="s">
        <v>269</v>
      </c>
      <c r="V586" s="134" t="s">
        <v>270</v>
      </c>
      <c r="W586" s="130" t="s">
        <v>1695</v>
      </c>
      <c r="X586" s="265">
        <v>8938755</v>
      </c>
      <c r="Y586" s="241">
        <v>8938755</v>
      </c>
      <c r="Z586" s="667">
        <v>1</v>
      </c>
      <c r="AA586" s="667" t="s">
        <v>1445</v>
      </c>
      <c r="AB586" s="656"/>
      <c r="AC586" s="245" t="s">
        <v>129</v>
      </c>
      <c r="AD586" s="657" t="s">
        <v>146</v>
      </c>
      <c r="AE586" s="582"/>
      <c r="AF586" s="582"/>
      <c r="AG586" s="658" t="s">
        <v>131</v>
      </c>
      <c r="AH586" s="555">
        <v>0</v>
      </c>
      <c r="AJ586" s="120"/>
      <c r="AK586" s="120" t="s">
        <v>147</v>
      </c>
      <c r="AL586" s="232" t="str">
        <f>VLOOKUP(AK586,'[3]17見直し計画'!$A$50:$AJ$584,6,0)</f>
        <v>　見直し計画策定以降の新規案件</v>
      </c>
      <c r="AM586" s="140">
        <f>VLOOKUP(AK586,'[3]17見直し計画'!$A$50:$AJ$584,8,0)</f>
        <v>0</v>
      </c>
      <c r="AN586" s="180"/>
      <c r="AO586" s="141">
        <f>VLOOKUP(AK586,'[3]17見直し計画'!$A$50:$AJ$584,11,0)</f>
        <v>0</v>
      </c>
      <c r="AP586" s="140">
        <f>VLOOKUP(AK586,'[3]17見直し計画'!$A$50:$AJ$584,12,0)</f>
        <v>0</v>
      </c>
      <c r="AQ586" s="140">
        <f>VLOOKUP(AK586,'[3]17見直し計画'!$A$50:$AJ$584,13,0)</f>
        <v>0</v>
      </c>
      <c r="AR586" s="140">
        <f>VLOOKUP(AK586,'[3]17見直し計画'!$A$50:$AJ$584,14,0)</f>
        <v>0</v>
      </c>
      <c r="AS586" s="140"/>
      <c r="AT586" s="140">
        <f>VLOOKUP(AK586,'[3]17見直し計画'!$A$50:$AJ$584,35,0)</f>
        <v>0</v>
      </c>
      <c r="AU586" s="140">
        <f>VLOOKUP(AK586,'[3]17見直し計画'!$A$50:$AJ$584,36,0)</f>
        <v>0</v>
      </c>
    </row>
    <row r="587" spans="2:47" ht="99.75" hidden="1" customHeight="1">
      <c r="B587" s="631" t="s">
        <v>2692</v>
      </c>
      <c r="C587" s="120" t="s">
        <v>135</v>
      </c>
      <c r="D587" s="120" t="s">
        <v>136</v>
      </c>
      <c r="E587">
        <f t="shared" si="45"/>
        <v>501</v>
      </c>
      <c r="F587" s="122">
        <v>9</v>
      </c>
      <c r="G587" s="122">
        <v>9</v>
      </c>
      <c r="H587" s="412">
        <v>2201682</v>
      </c>
      <c r="I587" s="412"/>
      <c r="J587" s="412" t="s">
        <v>2716</v>
      </c>
      <c r="K587" s="412" t="s">
        <v>353</v>
      </c>
      <c r="L587" s="412" t="s">
        <v>1182</v>
      </c>
      <c r="M587" s="412" t="s">
        <v>2541</v>
      </c>
      <c r="N587" s="120" t="s">
        <v>1003</v>
      </c>
      <c r="O587" s="659" t="s">
        <v>139</v>
      </c>
      <c r="P587" s="555" t="s">
        <v>122</v>
      </c>
      <c r="Q587" s="653">
        <v>9</v>
      </c>
      <c r="R587" s="130" t="s">
        <v>2717</v>
      </c>
      <c r="S587" s="263" t="s">
        <v>125</v>
      </c>
      <c r="T587" s="654">
        <v>40588</v>
      </c>
      <c r="U587" s="133" t="s">
        <v>2469</v>
      </c>
      <c r="V587" s="134" t="s">
        <v>2470</v>
      </c>
      <c r="W587" s="130" t="s">
        <v>1695</v>
      </c>
      <c r="X587" s="265">
        <v>7350000</v>
      </c>
      <c r="Y587" s="241">
        <v>7350000</v>
      </c>
      <c r="Z587" s="667">
        <v>1</v>
      </c>
      <c r="AA587" s="667" t="s">
        <v>1445</v>
      </c>
      <c r="AB587" s="656"/>
      <c r="AC587" s="245" t="s">
        <v>129</v>
      </c>
      <c r="AD587" s="657" t="s">
        <v>146</v>
      </c>
      <c r="AE587" s="582"/>
      <c r="AF587" s="582"/>
      <c r="AG587" s="658" t="s">
        <v>131</v>
      </c>
      <c r="AH587" s="555">
        <v>0</v>
      </c>
      <c r="AJ587" s="120"/>
      <c r="AK587" s="120" t="s">
        <v>147</v>
      </c>
      <c r="AL587" s="232" t="str">
        <f>VLOOKUP(AK587,'[3]17見直し計画'!$A$50:$AJ$584,6,0)</f>
        <v>　見直し計画策定以降の新規案件</v>
      </c>
      <c r="AM587" s="140">
        <f>VLOOKUP(AK587,'[3]17見直し計画'!$A$50:$AJ$584,8,0)</f>
        <v>0</v>
      </c>
      <c r="AN587" s="180"/>
      <c r="AO587" s="141">
        <f>VLOOKUP(AK587,'[3]17見直し計画'!$A$50:$AJ$584,11,0)</f>
        <v>0</v>
      </c>
      <c r="AP587" s="140">
        <f>VLOOKUP(AK587,'[3]17見直し計画'!$A$50:$AJ$584,12,0)</f>
        <v>0</v>
      </c>
      <c r="AQ587" s="140">
        <f>VLOOKUP(AK587,'[3]17見直し計画'!$A$50:$AJ$584,13,0)</f>
        <v>0</v>
      </c>
      <c r="AR587" s="140">
        <f>VLOOKUP(AK587,'[3]17見直し計画'!$A$50:$AJ$584,14,0)</f>
        <v>0</v>
      </c>
      <c r="AS587" s="140"/>
      <c r="AT587" s="140">
        <f>VLOOKUP(AK587,'[3]17見直し計画'!$A$50:$AJ$584,35,0)</f>
        <v>0</v>
      </c>
      <c r="AU587" s="140">
        <f>VLOOKUP(AK587,'[3]17見直し計画'!$A$50:$AJ$584,36,0)</f>
        <v>0</v>
      </c>
    </row>
    <row r="588" spans="2:47" ht="99.75" hidden="1" customHeight="1">
      <c r="B588" s="631" t="s">
        <v>2692</v>
      </c>
      <c r="C588" s="120" t="s">
        <v>135</v>
      </c>
      <c r="D588" s="120" t="s">
        <v>136</v>
      </c>
      <c r="E588">
        <f t="shared" si="45"/>
        <v>502</v>
      </c>
      <c r="F588" s="122">
        <v>10</v>
      </c>
      <c r="G588" s="122">
        <v>10</v>
      </c>
      <c r="H588" s="412">
        <v>2201691</v>
      </c>
      <c r="I588" s="412"/>
      <c r="J588" s="412" t="s">
        <v>2718</v>
      </c>
      <c r="K588" s="412" t="s">
        <v>195</v>
      </c>
      <c r="L588" s="412" t="s">
        <v>1182</v>
      </c>
      <c r="M588" s="412" t="s">
        <v>2541</v>
      </c>
      <c r="N588" s="120" t="s">
        <v>1003</v>
      </c>
      <c r="O588" s="659" t="s">
        <v>139</v>
      </c>
      <c r="P588" s="555" t="s">
        <v>122</v>
      </c>
      <c r="Q588" s="653">
        <v>10</v>
      </c>
      <c r="R588" s="130" t="s">
        <v>2719</v>
      </c>
      <c r="S588" s="263" t="s">
        <v>125</v>
      </c>
      <c r="T588" s="654">
        <v>40590</v>
      </c>
      <c r="U588" s="133" t="s">
        <v>222</v>
      </c>
      <c r="V588" s="134" t="s">
        <v>333</v>
      </c>
      <c r="W588" s="130" t="s">
        <v>1695</v>
      </c>
      <c r="X588" s="265">
        <v>10785600</v>
      </c>
      <c r="Y588" s="241">
        <v>10785600</v>
      </c>
      <c r="Z588" s="667">
        <v>1</v>
      </c>
      <c r="AA588" s="667" t="s">
        <v>1445</v>
      </c>
      <c r="AB588" s="656"/>
      <c r="AC588" s="245" t="s">
        <v>129</v>
      </c>
      <c r="AD588" s="657" t="s">
        <v>146</v>
      </c>
      <c r="AE588" s="582"/>
      <c r="AF588" s="582"/>
      <c r="AG588" s="658" t="s">
        <v>131</v>
      </c>
      <c r="AH588" s="555">
        <v>0</v>
      </c>
      <c r="AJ588" s="120"/>
      <c r="AK588" s="120" t="s">
        <v>147</v>
      </c>
      <c r="AL588" s="232" t="str">
        <f>VLOOKUP(AK588,'[3]17見直し計画'!$A$50:$AJ$584,6,0)</f>
        <v>　見直し計画策定以降の新規案件</v>
      </c>
      <c r="AM588" s="140">
        <f>VLOOKUP(AK588,'[3]17見直し計画'!$A$50:$AJ$584,8,0)</f>
        <v>0</v>
      </c>
      <c r="AN588" s="180"/>
      <c r="AO588" s="141">
        <f>VLOOKUP(AK588,'[3]17見直し計画'!$A$50:$AJ$584,11,0)</f>
        <v>0</v>
      </c>
      <c r="AP588" s="140">
        <f>VLOOKUP(AK588,'[3]17見直し計画'!$A$50:$AJ$584,12,0)</f>
        <v>0</v>
      </c>
      <c r="AQ588" s="140">
        <f>VLOOKUP(AK588,'[3]17見直し計画'!$A$50:$AJ$584,13,0)</f>
        <v>0</v>
      </c>
      <c r="AR588" s="140">
        <f>VLOOKUP(AK588,'[3]17見直し計画'!$A$50:$AJ$584,14,0)</f>
        <v>0</v>
      </c>
      <c r="AS588" s="140"/>
      <c r="AT588" s="140">
        <f>VLOOKUP(AK588,'[3]17見直し計画'!$A$50:$AJ$584,35,0)</f>
        <v>0</v>
      </c>
      <c r="AU588" s="140">
        <f>VLOOKUP(AK588,'[3]17見直し計画'!$A$50:$AJ$584,36,0)</f>
        <v>0</v>
      </c>
    </row>
    <row r="589" spans="2:47" ht="99.75" hidden="1" customHeight="1">
      <c r="B589" s="182"/>
      <c r="C589" s="182"/>
      <c r="D589" s="223" t="s">
        <v>421</v>
      </c>
      <c r="E589">
        <f t="shared" si="45"/>
        <v>503</v>
      </c>
      <c r="F589" s="185">
        <v>11</v>
      </c>
      <c r="G589" s="185">
        <v>11</v>
      </c>
      <c r="H589" s="406">
        <v>2201741</v>
      </c>
      <c r="I589" s="406"/>
      <c r="J589" s="406" t="s">
        <v>2720</v>
      </c>
      <c r="K589" s="406" t="s">
        <v>2721</v>
      </c>
      <c r="L589" s="406" t="s">
        <v>1190</v>
      </c>
      <c r="M589" s="406" t="s">
        <v>1448</v>
      </c>
      <c r="N589" s="182" t="s">
        <v>1608</v>
      </c>
      <c r="O589" s="661" t="s">
        <v>139</v>
      </c>
      <c r="P589" s="328" t="s">
        <v>2251</v>
      </c>
      <c r="Q589" s="662">
        <v>11</v>
      </c>
      <c r="R589" s="193" t="s">
        <v>2722</v>
      </c>
      <c r="S589" s="273" t="s">
        <v>125</v>
      </c>
      <c r="T589" s="663">
        <v>40591</v>
      </c>
      <c r="U589" s="196" t="s">
        <v>2723</v>
      </c>
      <c r="V589" s="197" t="s">
        <v>2724</v>
      </c>
      <c r="W589" s="193" t="s">
        <v>1747</v>
      </c>
      <c r="X589" s="275">
        <v>4833989</v>
      </c>
      <c r="Y589" s="331">
        <v>4831913</v>
      </c>
      <c r="Z589" s="664">
        <v>0.999</v>
      </c>
      <c r="AA589" s="664" t="s">
        <v>1445</v>
      </c>
      <c r="AB589" s="665"/>
      <c r="AC589" s="363">
        <v>2</v>
      </c>
      <c r="AD589" s="666" t="s">
        <v>427</v>
      </c>
      <c r="AE589" s="599"/>
      <c r="AF589" s="599"/>
      <c r="AG589" s="407" t="s">
        <v>131</v>
      </c>
      <c r="AH589" s="553">
        <v>2</v>
      </c>
      <c r="AI589" s="184"/>
      <c r="AJ589" s="182"/>
      <c r="AK589" s="182" t="s">
        <v>147</v>
      </c>
      <c r="AL589" s="231" t="str">
        <f>VLOOKUP(AK589,'[3]17見直し計画'!$A$50:$AJ$584,6,0)</f>
        <v>　見直し計画策定以降の新規案件</v>
      </c>
      <c r="AM589" s="204">
        <f>VLOOKUP(AK589,'[3]17見直し計画'!$A$50:$AJ$584,8,0)</f>
        <v>0</v>
      </c>
      <c r="AN589" s="224"/>
      <c r="AO589" s="205">
        <f>VLOOKUP(AK589,'[3]17見直し計画'!$A$50:$AJ$584,11,0)</f>
        <v>0</v>
      </c>
      <c r="AP589" s="204">
        <f>VLOOKUP(AK589,'[3]17見直し計画'!$A$50:$AJ$584,12,0)</f>
        <v>0</v>
      </c>
      <c r="AQ589" s="204">
        <f>VLOOKUP(AK589,'[3]17見直し計画'!$A$50:$AJ$584,13,0)</f>
        <v>0</v>
      </c>
      <c r="AR589" s="204">
        <f>VLOOKUP(AK589,'[3]17見直し計画'!$A$50:$AJ$584,14,0)</f>
        <v>0</v>
      </c>
      <c r="AS589" s="204"/>
      <c r="AT589" s="204">
        <f>VLOOKUP(AK589,'[3]17見直し計画'!$A$50:$AJ$584,35,0)</f>
        <v>0</v>
      </c>
      <c r="AU589" s="204">
        <f>VLOOKUP(AK589,'[3]17見直し計画'!$A$50:$AJ$584,36,0)</f>
        <v>0</v>
      </c>
    </row>
    <row r="590" spans="2:47" ht="99.75" hidden="1" customHeight="1">
      <c r="B590" s="182"/>
      <c r="C590" s="182"/>
      <c r="D590" s="223" t="s">
        <v>421</v>
      </c>
      <c r="E590">
        <f t="shared" si="45"/>
        <v>504</v>
      </c>
      <c r="F590" s="185">
        <v>12</v>
      </c>
      <c r="G590" s="185">
        <v>12</v>
      </c>
      <c r="H590" s="406">
        <v>2201724</v>
      </c>
      <c r="I590" s="406"/>
      <c r="J590" s="406" t="s">
        <v>2725</v>
      </c>
      <c r="K590" s="406" t="s">
        <v>2077</v>
      </c>
      <c r="L590" s="406" t="s">
        <v>1190</v>
      </c>
      <c r="M590" s="406" t="s">
        <v>1191</v>
      </c>
      <c r="N590" s="182" t="s">
        <v>1608</v>
      </c>
      <c r="O590" s="661" t="s">
        <v>139</v>
      </c>
      <c r="P590" s="328" t="s">
        <v>2251</v>
      </c>
      <c r="Q590" s="662">
        <v>12</v>
      </c>
      <c r="R590" s="193" t="s">
        <v>2726</v>
      </c>
      <c r="S590" s="273" t="s">
        <v>125</v>
      </c>
      <c r="T590" s="663">
        <v>40592</v>
      </c>
      <c r="U590" s="196" t="s">
        <v>1732</v>
      </c>
      <c r="V590" s="197" t="s">
        <v>1733</v>
      </c>
      <c r="W590" s="193" t="s">
        <v>1747</v>
      </c>
      <c r="X590" s="275">
        <v>12815000</v>
      </c>
      <c r="Y590" s="331">
        <v>12789624</v>
      </c>
      <c r="Z590" s="664">
        <v>0.998</v>
      </c>
      <c r="AA590" s="664" t="s">
        <v>1445</v>
      </c>
      <c r="AB590" s="665"/>
      <c r="AC590" s="363">
        <v>3</v>
      </c>
      <c r="AD590" s="666" t="s">
        <v>237</v>
      </c>
      <c r="AE590" s="599"/>
      <c r="AF590" s="599"/>
      <c r="AG590" s="407" t="s">
        <v>131</v>
      </c>
      <c r="AH590" s="553">
        <v>3</v>
      </c>
      <c r="AI590" s="184"/>
      <c r="AJ590" s="182"/>
      <c r="AK590" s="182" t="s">
        <v>147</v>
      </c>
      <c r="AL590" s="231" t="str">
        <f>VLOOKUP(AK590,'[3]17見直し計画'!$A$50:$AJ$584,6,0)</f>
        <v>　見直し計画策定以降の新規案件</v>
      </c>
      <c r="AM590" s="204">
        <f>VLOOKUP(AK590,'[3]17見直し計画'!$A$50:$AJ$584,8,0)</f>
        <v>0</v>
      </c>
      <c r="AN590" s="224"/>
      <c r="AO590" s="205">
        <f>VLOOKUP(AK590,'[3]17見直し計画'!$A$50:$AJ$584,11,0)</f>
        <v>0</v>
      </c>
      <c r="AP590" s="204">
        <f>VLOOKUP(AK590,'[3]17見直し計画'!$A$50:$AJ$584,12,0)</f>
        <v>0</v>
      </c>
      <c r="AQ590" s="204">
        <f>VLOOKUP(AK590,'[3]17見直し計画'!$A$50:$AJ$584,13,0)</f>
        <v>0</v>
      </c>
      <c r="AR590" s="204">
        <f>VLOOKUP(AK590,'[3]17見直し計画'!$A$50:$AJ$584,14,0)</f>
        <v>0</v>
      </c>
      <c r="AS590" s="204"/>
      <c r="AT590" s="204">
        <f>VLOOKUP(AK590,'[3]17見直し計画'!$A$50:$AJ$584,35,0)</f>
        <v>0</v>
      </c>
      <c r="AU590" s="204">
        <f>VLOOKUP(AK590,'[3]17見直し計画'!$A$50:$AJ$584,36,0)</f>
        <v>0</v>
      </c>
    </row>
    <row r="591" spans="2:47" ht="99.75" hidden="1" customHeight="1">
      <c r="B591" s="182"/>
      <c r="C591" s="182"/>
      <c r="D591" s="223" t="s">
        <v>421</v>
      </c>
      <c r="E591">
        <f t="shared" si="45"/>
        <v>505</v>
      </c>
      <c r="F591" s="185">
        <v>13</v>
      </c>
      <c r="G591" s="185">
        <v>13</v>
      </c>
      <c r="H591" s="406">
        <v>2201722</v>
      </c>
      <c r="I591" s="406"/>
      <c r="J591" s="406" t="s">
        <v>2727</v>
      </c>
      <c r="K591" s="406" t="s">
        <v>258</v>
      </c>
      <c r="L591" s="406" t="s">
        <v>1147</v>
      </c>
      <c r="M591" s="406" t="s">
        <v>2728</v>
      </c>
      <c r="N591" s="182" t="s">
        <v>1608</v>
      </c>
      <c r="O591" s="661" t="s">
        <v>139</v>
      </c>
      <c r="P591" s="328" t="s">
        <v>2251</v>
      </c>
      <c r="Q591" s="662">
        <v>13</v>
      </c>
      <c r="R591" s="193" t="s">
        <v>2729</v>
      </c>
      <c r="S591" s="273" t="s">
        <v>125</v>
      </c>
      <c r="T591" s="663">
        <v>40592</v>
      </c>
      <c r="U591" s="196" t="s">
        <v>2730</v>
      </c>
      <c r="V591" s="197" t="s">
        <v>2731</v>
      </c>
      <c r="W591" s="193" t="s">
        <v>1747</v>
      </c>
      <c r="X591" s="275">
        <v>3937500</v>
      </c>
      <c r="Y591" s="331">
        <v>3932250</v>
      </c>
      <c r="Z591" s="664">
        <v>0.998</v>
      </c>
      <c r="AA591" s="664" t="s">
        <v>1445</v>
      </c>
      <c r="AB591" s="665"/>
      <c r="AC591" s="363">
        <v>8</v>
      </c>
      <c r="AD591" s="666" t="s">
        <v>237</v>
      </c>
      <c r="AE591" s="599"/>
      <c r="AF591" s="599"/>
      <c r="AG591" s="407" t="s">
        <v>131</v>
      </c>
      <c r="AH591" s="553">
        <v>3</v>
      </c>
      <c r="AI591" s="184"/>
      <c r="AJ591" s="182"/>
      <c r="AK591" s="182" t="s">
        <v>147</v>
      </c>
      <c r="AL591" s="231" t="str">
        <f>VLOOKUP(AK591,'[3]17見直し計画'!$A$50:$AJ$584,6,0)</f>
        <v>　見直し計画策定以降の新規案件</v>
      </c>
      <c r="AM591" s="204">
        <f>VLOOKUP(AK591,'[3]17見直し計画'!$A$50:$AJ$584,8,0)</f>
        <v>0</v>
      </c>
      <c r="AN591" s="224"/>
      <c r="AO591" s="205">
        <f>VLOOKUP(AK591,'[3]17見直し計画'!$A$50:$AJ$584,11,0)</f>
        <v>0</v>
      </c>
      <c r="AP591" s="204">
        <f>VLOOKUP(AK591,'[3]17見直し計画'!$A$50:$AJ$584,12,0)</f>
        <v>0</v>
      </c>
      <c r="AQ591" s="204">
        <f>VLOOKUP(AK591,'[3]17見直し計画'!$A$50:$AJ$584,13,0)</f>
        <v>0</v>
      </c>
      <c r="AR591" s="204">
        <f>VLOOKUP(AK591,'[3]17見直し計画'!$A$50:$AJ$584,14,0)</f>
        <v>0</v>
      </c>
      <c r="AS591" s="204"/>
      <c r="AT591" s="204">
        <f>VLOOKUP(AK591,'[3]17見直し計画'!$A$50:$AJ$584,35,0)</f>
        <v>0</v>
      </c>
      <c r="AU591" s="204">
        <f>VLOOKUP(AK591,'[3]17見直し計画'!$A$50:$AJ$584,36,0)</f>
        <v>0</v>
      </c>
    </row>
    <row r="592" spans="2:47" ht="99.75" hidden="1" customHeight="1">
      <c r="B592" s="631" t="s">
        <v>2692</v>
      </c>
      <c r="C592" s="120" t="s">
        <v>135</v>
      </c>
      <c r="D592" s="120" t="s">
        <v>136</v>
      </c>
      <c r="E592">
        <f t="shared" si="45"/>
        <v>506</v>
      </c>
      <c r="F592" s="122">
        <v>14</v>
      </c>
      <c r="G592" s="122">
        <v>14</v>
      </c>
      <c r="H592" s="412">
        <v>2201718</v>
      </c>
      <c r="I592" s="412"/>
      <c r="J592" s="412" t="s">
        <v>2732</v>
      </c>
      <c r="K592" s="412" t="s">
        <v>195</v>
      </c>
      <c r="L592" s="412" t="s">
        <v>1182</v>
      </c>
      <c r="M592" s="412" t="s">
        <v>2541</v>
      </c>
      <c r="N592" s="120" t="s">
        <v>1003</v>
      </c>
      <c r="O592" s="659" t="s">
        <v>139</v>
      </c>
      <c r="P592" s="555" t="s">
        <v>122</v>
      </c>
      <c r="Q592" s="653">
        <v>14</v>
      </c>
      <c r="R592" s="130" t="s">
        <v>2733</v>
      </c>
      <c r="S592" s="263" t="s">
        <v>125</v>
      </c>
      <c r="T592" s="654">
        <v>40592</v>
      </c>
      <c r="U592" s="133" t="s">
        <v>468</v>
      </c>
      <c r="V592" s="134" t="s">
        <v>469</v>
      </c>
      <c r="W592" s="130" t="s">
        <v>1695</v>
      </c>
      <c r="X592" s="265">
        <v>3924670</v>
      </c>
      <c r="Y592" s="241">
        <v>3924670</v>
      </c>
      <c r="Z592" s="667">
        <v>1</v>
      </c>
      <c r="AA592" s="667" t="s">
        <v>1445</v>
      </c>
      <c r="AB592" s="656"/>
      <c r="AC592" s="245" t="s">
        <v>129</v>
      </c>
      <c r="AD592" s="657" t="s">
        <v>146</v>
      </c>
      <c r="AE592" s="582"/>
      <c r="AF592" s="582"/>
      <c r="AG592" s="658" t="s">
        <v>131</v>
      </c>
      <c r="AH592" s="555">
        <v>0</v>
      </c>
      <c r="AJ592" s="120"/>
      <c r="AK592" s="120" t="s">
        <v>147</v>
      </c>
      <c r="AL592" s="232" t="str">
        <f>VLOOKUP(AK592,'[3]17見直し計画'!$A$50:$AJ$584,6,0)</f>
        <v>　見直し計画策定以降の新規案件</v>
      </c>
      <c r="AM592" s="140">
        <f>VLOOKUP(AK592,'[3]17見直し計画'!$A$50:$AJ$584,8,0)</f>
        <v>0</v>
      </c>
      <c r="AN592" s="180"/>
      <c r="AO592" s="141">
        <f>VLOOKUP(AK592,'[3]17見直し計画'!$A$50:$AJ$584,11,0)</f>
        <v>0</v>
      </c>
      <c r="AP592" s="140">
        <f>VLOOKUP(AK592,'[3]17見直し計画'!$A$50:$AJ$584,12,0)</f>
        <v>0</v>
      </c>
      <c r="AQ592" s="140">
        <f>VLOOKUP(AK592,'[3]17見直し計画'!$A$50:$AJ$584,13,0)</f>
        <v>0</v>
      </c>
      <c r="AR592" s="140">
        <f>VLOOKUP(AK592,'[3]17見直し計画'!$A$50:$AJ$584,14,0)</f>
        <v>0</v>
      </c>
      <c r="AS592" s="140"/>
      <c r="AT592" s="140">
        <f>VLOOKUP(AK592,'[3]17見直し計画'!$A$50:$AJ$584,35,0)</f>
        <v>0</v>
      </c>
      <c r="AU592" s="140">
        <f>VLOOKUP(AK592,'[3]17見直し計画'!$A$50:$AJ$584,36,0)</f>
        <v>0</v>
      </c>
    </row>
    <row r="593" spans="1:47" ht="99.75" hidden="1" customHeight="1">
      <c r="B593" s="182"/>
      <c r="C593" s="182"/>
      <c r="D593" s="223" t="s">
        <v>421</v>
      </c>
      <c r="E593">
        <f t="shared" si="45"/>
        <v>507</v>
      </c>
      <c r="F593" s="185">
        <v>15</v>
      </c>
      <c r="G593" s="185">
        <v>15</v>
      </c>
      <c r="H593" s="406">
        <v>2201722</v>
      </c>
      <c r="I593" s="406"/>
      <c r="J593" s="406" t="s">
        <v>2727</v>
      </c>
      <c r="K593" s="406" t="s">
        <v>258</v>
      </c>
      <c r="L593" s="406" t="s">
        <v>1147</v>
      </c>
      <c r="M593" s="406" t="s">
        <v>2728</v>
      </c>
      <c r="N593" s="182" t="s">
        <v>1608</v>
      </c>
      <c r="O593" s="661" t="s">
        <v>139</v>
      </c>
      <c r="P593" s="328" t="s">
        <v>2251</v>
      </c>
      <c r="Q593" s="662">
        <v>15</v>
      </c>
      <c r="R593" s="193" t="s">
        <v>2734</v>
      </c>
      <c r="S593" s="273" t="s">
        <v>125</v>
      </c>
      <c r="T593" s="663">
        <v>40592</v>
      </c>
      <c r="U593" s="196" t="s">
        <v>2735</v>
      </c>
      <c r="V593" s="197" t="s">
        <v>2736</v>
      </c>
      <c r="W593" s="193" t="s">
        <v>1747</v>
      </c>
      <c r="X593" s="275">
        <v>3769500</v>
      </c>
      <c r="Y593" s="331">
        <v>3769500</v>
      </c>
      <c r="Z593" s="664">
        <v>1</v>
      </c>
      <c r="AA593" s="664" t="s">
        <v>1445</v>
      </c>
      <c r="AB593" s="665"/>
      <c r="AC593" s="363">
        <v>8</v>
      </c>
      <c r="AD593" s="666" t="s">
        <v>237</v>
      </c>
      <c r="AE593" s="599"/>
      <c r="AF593" s="599"/>
      <c r="AG593" s="407" t="s">
        <v>131</v>
      </c>
      <c r="AH593" s="553">
        <v>3</v>
      </c>
      <c r="AI593" s="184"/>
      <c r="AJ593" s="182"/>
      <c r="AK593" s="182" t="s">
        <v>147</v>
      </c>
      <c r="AL593" s="231" t="str">
        <f>VLOOKUP(AK593,'[3]17見直し計画'!$A$50:$AJ$584,6,0)</f>
        <v>　見直し計画策定以降の新規案件</v>
      </c>
      <c r="AM593" s="204">
        <f>VLOOKUP(AK593,'[3]17見直し計画'!$A$50:$AJ$584,8,0)</f>
        <v>0</v>
      </c>
      <c r="AN593" s="224"/>
      <c r="AO593" s="205">
        <f>VLOOKUP(AK593,'[3]17見直し計画'!$A$50:$AJ$584,11,0)</f>
        <v>0</v>
      </c>
      <c r="AP593" s="204">
        <f>VLOOKUP(AK593,'[3]17見直し計画'!$A$50:$AJ$584,12,0)</f>
        <v>0</v>
      </c>
      <c r="AQ593" s="204">
        <f>VLOOKUP(AK593,'[3]17見直し計画'!$A$50:$AJ$584,13,0)</f>
        <v>0</v>
      </c>
      <c r="AR593" s="204">
        <f>VLOOKUP(AK593,'[3]17見直し計画'!$A$50:$AJ$584,14,0)</f>
        <v>0</v>
      </c>
      <c r="AS593" s="204"/>
      <c r="AT593" s="204">
        <f>VLOOKUP(AK593,'[3]17見直し計画'!$A$50:$AJ$584,35,0)</f>
        <v>0</v>
      </c>
      <c r="AU593" s="204">
        <f>VLOOKUP(AK593,'[3]17見直し計画'!$A$50:$AJ$584,36,0)</f>
        <v>0</v>
      </c>
    </row>
    <row r="594" spans="1:47" ht="99.75" hidden="1" customHeight="1">
      <c r="B594" s="182"/>
      <c r="C594" s="182"/>
      <c r="D594" s="223" t="s">
        <v>421</v>
      </c>
      <c r="E594">
        <f t="shared" si="45"/>
        <v>508</v>
      </c>
      <c r="F594" s="185">
        <v>16</v>
      </c>
      <c r="G594" s="185">
        <v>16</v>
      </c>
      <c r="H594" s="406">
        <v>2201722</v>
      </c>
      <c r="I594" s="406"/>
      <c r="J594" s="406" t="s">
        <v>2727</v>
      </c>
      <c r="K594" s="406" t="s">
        <v>258</v>
      </c>
      <c r="L594" s="406" t="s">
        <v>1147</v>
      </c>
      <c r="M594" s="406" t="s">
        <v>2728</v>
      </c>
      <c r="N594" s="182" t="s">
        <v>1608</v>
      </c>
      <c r="O594" s="661" t="s">
        <v>139</v>
      </c>
      <c r="P594" s="328" t="s">
        <v>2251</v>
      </c>
      <c r="Q594" s="662">
        <v>16</v>
      </c>
      <c r="R594" s="193" t="s">
        <v>2737</v>
      </c>
      <c r="S594" s="273" t="s">
        <v>125</v>
      </c>
      <c r="T594" s="663">
        <v>40592</v>
      </c>
      <c r="U594" s="196" t="s">
        <v>2738</v>
      </c>
      <c r="V594" s="197" t="s">
        <v>2739</v>
      </c>
      <c r="W594" s="193" t="s">
        <v>1747</v>
      </c>
      <c r="X594" s="275">
        <v>3528000</v>
      </c>
      <c r="Y594" s="331">
        <v>3528000</v>
      </c>
      <c r="Z594" s="664">
        <v>1</v>
      </c>
      <c r="AA594" s="664" t="s">
        <v>1445</v>
      </c>
      <c r="AB594" s="665"/>
      <c r="AC594" s="363">
        <v>8</v>
      </c>
      <c r="AD594" s="666" t="s">
        <v>237</v>
      </c>
      <c r="AE594" s="599"/>
      <c r="AF594" s="599"/>
      <c r="AG594" s="407" t="s">
        <v>131</v>
      </c>
      <c r="AH594" s="553">
        <v>3</v>
      </c>
      <c r="AI594" s="184"/>
      <c r="AJ594" s="182"/>
      <c r="AK594" s="182" t="s">
        <v>147</v>
      </c>
      <c r="AL594" s="231" t="str">
        <f>VLOOKUP(AK594,'[3]17見直し計画'!$A$50:$AJ$584,6,0)</f>
        <v>　見直し計画策定以降の新規案件</v>
      </c>
      <c r="AM594" s="204">
        <f>VLOOKUP(AK594,'[3]17見直し計画'!$A$50:$AJ$584,8,0)</f>
        <v>0</v>
      </c>
      <c r="AN594" s="224"/>
      <c r="AO594" s="205">
        <f>VLOOKUP(AK594,'[3]17見直し計画'!$A$50:$AJ$584,11,0)</f>
        <v>0</v>
      </c>
      <c r="AP594" s="204">
        <f>VLOOKUP(AK594,'[3]17見直し計画'!$A$50:$AJ$584,12,0)</f>
        <v>0</v>
      </c>
      <c r="AQ594" s="204">
        <f>VLOOKUP(AK594,'[3]17見直し計画'!$A$50:$AJ$584,13,0)</f>
        <v>0</v>
      </c>
      <c r="AR594" s="204">
        <f>VLOOKUP(AK594,'[3]17見直し計画'!$A$50:$AJ$584,14,0)</f>
        <v>0</v>
      </c>
      <c r="AS594" s="204"/>
      <c r="AT594" s="204">
        <f>VLOOKUP(AK594,'[3]17見直し計画'!$A$50:$AJ$584,35,0)</f>
        <v>0</v>
      </c>
      <c r="AU594" s="204">
        <f>VLOOKUP(AK594,'[3]17見直し計画'!$A$50:$AJ$584,36,0)</f>
        <v>0</v>
      </c>
    </row>
    <row r="595" spans="1:47" ht="99.75" customHeight="1">
      <c r="B595" s="126" t="s">
        <v>1495</v>
      </c>
      <c r="C595" s="120" t="s">
        <v>350</v>
      </c>
      <c r="D595" s="120" t="s">
        <v>477</v>
      </c>
      <c r="E595">
        <f t="shared" si="45"/>
        <v>509</v>
      </c>
      <c r="F595" s="122">
        <v>17</v>
      </c>
      <c r="G595" s="122">
        <v>17</v>
      </c>
      <c r="H595" s="412">
        <v>2201756</v>
      </c>
      <c r="I595" s="412"/>
      <c r="J595" s="412" t="s">
        <v>2740</v>
      </c>
      <c r="K595" s="412" t="s">
        <v>1222</v>
      </c>
      <c r="L595" s="412" t="s">
        <v>1190</v>
      </c>
      <c r="M595" s="412" t="s">
        <v>1448</v>
      </c>
      <c r="N595" s="120" t="s">
        <v>1003</v>
      </c>
      <c r="O595" s="659" t="s">
        <v>139</v>
      </c>
      <c r="P595" s="555" t="s">
        <v>122</v>
      </c>
      <c r="Q595" s="653">
        <v>17</v>
      </c>
      <c r="R595" s="130" t="s">
        <v>2741</v>
      </c>
      <c r="S595" s="263" t="s">
        <v>125</v>
      </c>
      <c r="T595" s="654">
        <v>40592</v>
      </c>
      <c r="U595" s="133" t="s">
        <v>1436</v>
      </c>
      <c r="V595" s="134" t="s">
        <v>1437</v>
      </c>
      <c r="W595" s="130" t="s">
        <v>2742</v>
      </c>
      <c r="X595" s="265">
        <v>2908417</v>
      </c>
      <c r="Y595" s="241">
        <v>2908417</v>
      </c>
      <c r="Z595" s="667">
        <v>1</v>
      </c>
      <c r="AA595" s="667" t="s">
        <v>1445</v>
      </c>
      <c r="AB595" s="656"/>
      <c r="AC595" s="245" t="s">
        <v>129</v>
      </c>
      <c r="AD595" s="657" t="s">
        <v>146</v>
      </c>
      <c r="AE595" s="582"/>
      <c r="AF595" s="582"/>
      <c r="AG595" s="658" t="s">
        <v>131</v>
      </c>
      <c r="AH595" s="555">
        <v>0</v>
      </c>
      <c r="AJ595" s="120"/>
      <c r="AK595" s="120" t="s">
        <v>147</v>
      </c>
      <c r="AL595" s="232" t="str">
        <f>VLOOKUP(AK595,'[3]17見直し計画'!$A$50:$AJ$584,6,0)</f>
        <v>　見直し計画策定以降の新規案件</v>
      </c>
      <c r="AM595" s="140">
        <f>VLOOKUP(AK595,'[3]17見直し計画'!$A$50:$AJ$584,8,0)</f>
        <v>0</v>
      </c>
      <c r="AN595" s="180"/>
      <c r="AO595" s="141">
        <f>VLOOKUP(AK595,'[3]17見直し計画'!$A$50:$AJ$584,11,0)</f>
        <v>0</v>
      </c>
      <c r="AP595" s="140">
        <f>VLOOKUP(AK595,'[3]17見直し計画'!$A$50:$AJ$584,12,0)</f>
        <v>0</v>
      </c>
      <c r="AQ595" s="140">
        <f>VLOOKUP(AK595,'[3]17見直し計画'!$A$50:$AJ$584,13,0)</f>
        <v>0</v>
      </c>
      <c r="AR595" s="140">
        <f>VLOOKUP(AK595,'[3]17見直し計画'!$A$50:$AJ$584,14,0)</f>
        <v>0</v>
      </c>
      <c r="AS595" s="140"/>
      <c r="AT595" s="140">
        <f>VLOOKUP(AK595,'[3]17見直し計画'!$A$50:$AJ$584,35,0)</f>
        <v>0</v>
      </c>
      <c r="AU595" s="140">
        <f>VLOOKUP(AK595,'[3]17見直し計画'!$A$50:$AJ$584,36,0)</f>
        <v>0</v>
      </c>
    </row>
    <row r="596" spans="1:47" ht="99.75" hidden="1" customHeight="1">
      <c r="B596" s="182"/>
      <c r="C596" s="182"/>
      <c r="D596" s="223" t="s">
        <v>421</v>
      </c>
      <c r="E596">
        <f>SUM(E595+1)</f>
        <v>510</v>
      </c>
      <c r="F596" s="185">
        <v>18</v>
      </c>
      <c r="G596" s="185">
        <v>18</v>
      </c>
      <c r="H596" s="406">
        <v>2201740</v>
      </c>
      <c r="I596" s="406"/>
      <c r="J596" s="406" t="s">
        <v>2743</v>
      </c>
      <c r="K596" s="406" t="s">
        <v>661</v>
      </c>
      <c r="L596" s="406" t="s">
        <v>1190</v>
      </c>
      <c r="M596" s="406" t="s">
        <v>1448</v>
      </c>
      <c r="N596" s="182" t="s">
        <v>1608</v>
      </c>
      <c r="O596" s="661" t="s">
        <v>139</v>
      </c>
      <c r="P596" s="328" t="s">
        <v>2251</v>
      </c>
      <c r="Q596" s="662">
        <v>18</v>
      </c>
      <c r="R596" s="193" t="s">
        <v>2744</v>
      </c>
      <c r="S596" s="273" t="s">
        <v>125</v>
      </c>
      <c r="T596" s="663">
        <v>40592</v>
      </c>
      <c r="U596" s="196" t="s">
        <v>1810</v>
      </c>
      <c r="V596" s="197" t="s">
        <v>1443</v>
      </c>
      <c r="W596" s="193" t="s">
        <v>1747</v>
      </c>
      <c r="X596" s="275">
        <v>2728000</v>
      </c>
      <c r="Y596" s="331">
        <v>2679664</v>
      </c>
      <c r="Z596" s="664">
        <v>0.98199999999999998</v>
      </c>
      <c r="AA596" s="664" t="s">
        <v>1445</v>
      </c>
      <c r="AB596" s="665"/>
      <c r="AC596" s="363">
        <v>1</v>
      </c>
      <c r="AD596" s="666" t="s">
        <v>631</v>
      </c>
      <c r="AE596" s="599"/>
      <c r="AF596" s="599"/>
      <c r="AG596" s="407" t="s">
        <v>131</v>
      </c>
      <c r="AH596" s="553">
        <v>1</v>
      </c>
      <c r="AI596" s="184"/>
      <c r="AJ596" s="182"/>
      <c r="AK596" s="182" t="s">
        <v>147</v>
      </c>
      <c r="AL596" s="231" t="str">
        <f>VLOOKUP(AK596,'[3]17見直し計画'!$A$50:$AJ$584,6,0)</f>
        <v>　見直し計画策定以降の新規案件</v>
      </c>
      <c r="AM596" s="204">
        <f>VLOOKUP(AK596,'[3]17見直し計画'!$A$50:$AJ$584,8,0)</f>
        <v>0</v>
      </c>
      <c r="AN596" s="224"/>
      <c r="AO596" s="205">
        <f>VLOOKUP(AK596,'[3]17見直し計画'!$A$50:$AJ$584,11,0)</f>
        <v>0</v>
      </c>
      <c r="AP596" s="204">
        <f>VLOOKUP(AK596,'[3]17見直し計画'!$A$50:$AJ$584,12,0)</f>
        <v>0</v>
      </c>
      <c r="AQ596" s="204">
        <f>VLOOKUP(AK596,'[3]17見直し計画'!$A$50:$AJ$584,13,0)</f>
        <v>0</v>
      </c>
      <c r="AR596" s="204">
        <f>VLOOKUP(AK596,'[3]17見直し計画'!$A$50:$AJ$584,14,0)</f>
        <v>0</v>
      </c>
      <c r="AS596" s="204"/>
      <c r="AT596" s="204">
        <f>VLOOKUP(AK596,'[3]17見直し計画'!$A$50:$AJ$584,35,0)</f>
        <v>0</v>
      </c>
      <c r="AU596" s="204">
        <f>VLOOKUP(AK596,'[3]17見直し計画'!$A$50:$AJ$584,36,0)</f>
        <v>0</v>
      </c>
    </row>
    <row r="597" spans="1:47" ht="99.75" customHeight="1">
      <c r="B597" s="126" t="s">
        <v>1495</v>
      </c>
      <c r="C597" s="120" t="s">
        <v>350</v>
      </c>
      <c r="D597" s="120" t="s">
        <v>477</v>
      </c>
      <c r="E597">
        <f t="shared" si="45"/>
        <v>511</v>
      </c>
      <c r="F597" s="122">
        <v>19</v>
      </c>
      <c r="G597" s="122">
        <v>19</v>
      </c>
      <c r="H597" s="412">
        <v>2201760</v>
      </c>
      <c r="I597" s="412"/>
      <c r="J597" s="412" t="s">
        <v>2745</v>
      </c>
      <c r="K597" s="412" t="s">
        <v>1189</v>
      </c>
      <c r="L597" s="412" t="s">
        <v>1190</v>
      </c>
      <c r="M597" s="412" t="s">
        <v>1191</v>
      </c>
      <c r="N597" s="120" t="s">
        <v>1003</v>
      </c>
      <c r="O597" s="659" t="s">
        <v>139</v>
      </c>
      <c r="P597" s="555" t="s">
        <v>122</v>
      </c>
      <c r="Q597" s="653">
        <v>19</v>
      </c>
      <c r="R597" s="130" t="s">
        <v>2746</v>
      </c>
      <c r="S597" s="263" t="s">
        <v>125</v>
      </c>
      <c r="T597" s="654">
        <v>40592</v>
      </c>
      <c r="U597" s="133" t="s">
        <v>2747</v>
      </c>
      <c r="V597" s="134" t="s">
        <v>1437</v>
      </c>
      <c r="W597" s="130" t="s">
        <v>2742</v>
      </c>
      <c r="X597" s="265">
        <v>1114330</v>
      </c>
      <c r="Y597" s="241">
        <v>1114330</v>
      </c>
      <c r="Z597" s="667">
        <v>1</v>
      </c>
      <c r="AA597" s="667" t="s">
        <v>1445</v>
      </c>
      <c r="AB597" s="656"/>
      <c r="AC597" s="245" t="s">
        <v>129</v>
      </c>
      <c r="AD597" s="657" t="s">
        <v>146</v>
      </c>
      <c r="AE597" s="582"/>
      <c r="AF597" s="582"/>
      <c r="AG597" s="658" t="s">
        <v>131</v>
      </c>
      <c r="AH597" s="555">
        <v>0</v>
      </c>
      <c r="AJ597" s="120"/>
      <c r="AK597" s="120" t="s">
        <v>147</v>
      </c>
      <c r="AL597" s="232" t="str">
        <f>VLOOKUP(AK597,'[3]17見直し計画'!$A$50:$AJ$584,6,0)</f>
        <v>　見直し計画策定以降の新規案件</v>
      </c>
      <c r="AM597" s="140">
        <f>VLOOKUP(AK597,'[3]17見直し計画'!$A$50:$AJ$584,8,0)</f>
        <v>0</v>
      </c>
      <c r="AN597" s="180"/>
      <c r="AO597" s="141">
        <f>VLOOKUP(AK597,'[3]17見直し計画'!$A$50:$AJ$584,11,0)</f>
        <v>0</v>
      </c>
      <c r="AP597" s="140">
        <f>VLOOKUP(AK597,'[3]17見直し計画'!$A$50:$AJ$584,12,0)</f>
        <v>0</v>
      </c>
      <c r="AQ597" s="140">
        <f>VLOOKUP(AK597,'[3]17見直し計画'!$A$50:$AJ$584,13,0)</f>
        <v>0</v>
      </c>
      <c r="AR597" s="140">
        <f>VLOOKUP(AK597,'[3]17見直し計画'!$A$50:$AJ$584,14,0)</f>
        <v>0</v>
      </c>
      <c r="AS597" s="140"/>
      <c r="AT597" s="140">
        <f>VLOOKUP(AK597,'[3]17見直し計画'!$A$50:$AJ$584,35,0)</f>
        <v>0</v>
      </c>
      <c r="AU597" s="140">
        <f>VLOOKUP(AK597,'[3]17見直し計画'!$A$50:$AJ$584,36,0)</f>
        <v>0</v>
      </c>
    </row>
    <row r="598" spans="1:47" ht="99.75" hidden="1" customHeight="1">
      <c r="B598" s="631" t="s">
        <v>2692</v>
      </c>
      <c r="C598" s="120" t="s">
        <v>135</v>
      </c>
      <c r="D598" s="120" t="s">
        <v>136</v>
      </c>
      <c r="E598">
        <f>SUM(E597+1)</f>
        <v>512</v>
      </c>
      <c r="F598" s="122">
        <v>20</v>
      </c>
      <c r="G598" s="122">
        <v>20</v>
      </c>
      <c r="H598" s="412">
        <v>2201726</v>
      </c>
      <c r="I598" s="412"/>
      <c r="J598" s="412" t="s">
        <v>2748</v>
      </c>
      <c r="K598" s="412" t="s">
        <v>195</v>
      </c>
      <c r="L598" s="412" t="s">
        <v>1182</v>
      </c>
      <c r="M598" s="412" t="s">
        <v>2541</v>
      </c>
      <c r="N598" s="120" t="s">
        <v>1003</v>
      </c>
      <c r="O598" s="659" t="s">
        <v>139</v>
      </c>
      <c r="P598" s="555" t="s">
        <v>122</v>
      </c>
      <c r="Q598" s="653">
        <v>20</v>
      </c>
      <c r="R598" s="130" t="s">
        <v>2749</v>
      </c>
      <c r="S598" s="263" t="s">
        <v>2750</v>
      </c>
      <c r="T598" s="654">
        <v>40595</v>
      </c>
      <c r="U598" s="133" t="s">
        <v>303</v>
      </c>
      <c r="V598" s="134" t="s">
        <v>304</v>
      </c>
      <c r="W598" s="130" t="s">
        <v>1695</v>
      </c>
      <c r="X598" s="265">
        <v>1481235</v>
      </c>
      <c r="Y598" s="241">
        <v>1481235</v>
      </c>
      <c r="Z598" s="667">
        <v>1</v>
      </c>
      <c r="AA598" s="667" t="s">
        <v>1445</v>
      </c>
      <c r="AB598" s="656"/>
      <c r="AC598" s="245" t="s">
        <v>129</v>
      </c>
      <c r="AD598" s="657" t="s">
        <v>146</v>
      </c>
      <c r="AE598" s="582"/>
      <c r="AF598" s="582"/>
      <c r="AG598" s="658" t="s">
        <v>131</v>
      </c>
      <c r="AH598" s="555">
        <v>0</v>
      </c>
      <c r="AJ598" s="120"/>
      <c r="AK598" s="120" t="s">
        <v>147</v>
      </c>
      <c r="AL598" s="232" t="str">
        <f>VLOOKUP(AK598,'[3]17見直し計画'!$A$50:$AJ$584,6,0)</f>
        <v>　見直し計画策定以降の新規案件</v>
      </c>
      <c r="AM598" s="140">
        <f>VLOOKUP(AK598,'[3]17見直し計画'!$A$50:$AJ$584,8,0)</f>
        <v>0</v>
      </c>
      <c r="AN598" s="180"/>
      <c r="AO598" s="141">
        <f>VLOOKUP(AK598,'[3]17見直し計画'!$A$50:$AJ$584,11,0)</f>
        <v>0</v>
      </c>
      <c r="AP598" s="140">
        <f>VLOOKUP(AK598,'[3]17見直し計画'!$A$50:$AJ$584,12,0)</f>
        <v>0</v>
      </c>
      <c r="AQ598" s="140">
        <f>VLOOKUP(AK598,'[3]17見直し計画'!$A$50:$AJ$584,13,0)</f>
        <v>0</v>
      </c>
      <c r="AR598" s="140">
        <f>VLOOKUP(AK598,'[3]17見直し計画'!$A$50:$AJ$584,14,0)</f>
        <v>0</v>
      </c>
      <c r="AS598" s="140"/>
      <c r="AT598" s="140">
        <f>VLOOKUP(AK598,'[3]17見直し計画'!$A$50:$AJ$584,35,0)</f>
        <v>0</v>
      </c>
      <c r="AU598" s="140">
        <f>VLOOKUP(AK598,'[3]17見直し計画'!$A$50:$AJ$584,36,0)</f>
        <v>0</v>
      </c>
    </row>
    <row r="599" spans="1:47" ht="99.75" customHeight="1">
      <c r="B599" s="120" t="s">
        <v>2143</v>
      </c>
      <c r="C599" s="120" t="s">
        <v>350</v>
      </c>
      <c r="D599" s="120" t="s">
        <v>477</v>
      </c>
      <c r="E599">
        <f t="shared" si="45"/>
        <v>513</v>
      </c>
      <c r="F599" s="122">
        <v>21</v>
      </c>
      <c r="G599" s="122">
        <v>21</v>
      </c>
      <c r="H599" s="412">
        <v>2201738</v>
      </c>
      <c r="I599" s="412"/>
      <c r="J599" s="412"/>
      <c r="K599" s="412" t="s">
        <v>393</v>
      </c>
      <c r="L599" s="412" t="s">
        <v>1163</v>
      </c>
      <c r="M599" s="412" t="s">
        <v>2477</v>
      </c>
      <c r="N599" s="120" t="s">
        <v>1003</v>
      </c>
      <c r="O599" s="659" t="s">
        <v>139</v>
      </c>
      <c r="P599" s="555" t="s">
        <v>122</v>
      </c>
      <c r="Q599" s="653">
        <v>21</v>
      </c>
      <c r="R599" s="130" t="s">
        <v>2751</v>
      </c>
      <c r="S599" s="263" t="s">
        <v>2750</v>
      </c>
      <c r="T599" s="654">
        <v>40596</v>
      </c>
      <c r="U599" s="133" t="s">
        <v>1895</v>
      </c>
      <c r="V599" s="134" t="s">
        <v>1400</v>
      </c>
      <c r="W599" s="130" t="s">
        <v>2752</v>
      </c>
      <c r="X599" s="265">
        <v>32181740</v>
      </c>
      <c r="Y599" s="241">
        <v>32181740</v>
      </c>
      <c r="Z599" s="667">
        <v>1</v>
      </c>
      <c r="AA599" s="667" t="s">
        <v>1445</v>
      </c>
      <c r="AB599" s="656"/>
      <c r="AC599" s="245" t="s">
        <v>129</v>
      </c>
      <c r="AD599" s="657" t="s">
        <v>146</v>
      </c>
      <c r="AE599" s="582"/>
      <c r="AF599" s="582"/>
      <c r="AG599" s="658" t="s">
        <v>131</v>
      </c>
      <c r="AH599" s="555">
        <v>0</v>
      </c>
      <c r="AJ599" s="120"/>
      <c r="AK599" s="178" t="s">
        <v>1898</v>
      </c>
      <c r="AL599" s="232" t="str">
        <f>VLOOKUP(AK599,'[3]17見直し計画'!$A$50:$AJ$584,6,0)</f>
        <v>（株）ケンウッド</v>
      </c>
      <c r="AM599" s="140" t="str">
        <f>VLOOKUP(AK599,'[3]17見直し計画'!$A$50:$AJ$584,8,0)</f>
        <v>在外公館用ＦＭ放送機等無線機の保守・運用指導（１７年度前期）</v>
      </c>
      <c r="AN599" s="180">
        <f>VLOOKUP(AK599,'[3]17見直し計画'!$A$50:$AJ$584,10,0)</f>
        <v>38576</v>
      </c>
      <c r="AO599" s="141">
        <f>VLOOKUP(AK599,'[3]17見直し計画'!$A$50:$AJ$584,11,0)</f>
        <v>40000280</v>
      </c>
      <c r="AP599" s="140" t="str">
        <f>VLOOKUP(AK599,'[3]17見直し計画'!$A$50:$AJ$584,12,0)</f>
        <v>毎年一般競争入札を行い導入してきた特注の無線機の保守・運用指導業務であるため、他の業者では行えない業務であり、他に競争を許さない（会計法第２９条の３第４項、特定政令に該当）。</v>
      </c>
      <c r="AQ599" s="140" t="str">
        <f>VLOOKUP(AK599,'[3]17見直し計画'!$A$50:$AJ$584,13,0)</f>
        <v>その他のもの</v>
      </c>
      <c r="AR599" s="140" t="str">
        <f>VLOOKUP(AK599,'[3]17見直し計画'!$A$50:$AJ$584,14,0)</f>
        <v>随意契約によらざるを得ないもの</v>
      </c>
      <c r="AS599" s="140"/>
      <c r="AT599" s="140" t="str">
        <f>VLOOKUP(AK599,'[3]17見直し計画'!$A$50:$AJ$584,35,0)</f>
        <v>行政目的を達成するために不可欠な業務を提供することが可能な者から提供を受けるもの</v>
      </c>
      <c r="AU599" s="140" t="str">
        <f>VLOOKUP(AK599,'[3]17見直し計画'!$A$50:$AJ$584,36,0)</f>
        <v>ニ（へ）に準ずる</v>
      </c>
    </row>
    <row r="600" spans="1:47" ht="99.75" hidden="1" customHeight="1">
      <c r="B600" s="120" t="s">
        <v>2692</v>
      </c>
      <c r="C600" s="120" t="s">
        <v>135</v>
      </c>
      <c r="D600" s="120" t="s">
        <v>136</v>
      </c>
      <c r="E600">
        <f>SUM(E599+1)</f>
        <v>514</v>
      </c>
      <c r="F600" s="122">
        <v>22</v>
      </c>
      <c r="G600" s="122">
        <v>22</v>
      </c>
      <c r="H600" s="412">
        <v>2201730</v>
      </c>
      <c r="I600" s="412"/>
      <c r="J600" s="412" t="s">
        <v>2753</v>
      </c>
      <c r="K600" s="412" t="s">
        <v>195</v>
      </c>
      <c r="L600" s="412" t="s">
        <v>1182</v>
      </c>
      <c r="M600" s="412" t="s">
        <v>2541</v>
      </c>
      <c r="N600" s="120" t="s">
        <v>1003</v>
      </c>
      <c r="O600" s="659" t="s">
        <v>139</v>
      </c>
      <c r="P600" s="555" t="s">
        <v>122</v>
      </c>
      <c r="Q600" s="653">
        <v>22</v>
      </c>
      <c r="R600" s="130" t="s">
        <v>2754</v>
      </c>
      <c r="S600" s="263" t="s">
        <v>2750</v>
      </c>
      <c r="T600" s="654">
        <v>40596</v>
      </c>
      <c r="U600" s="133" t="s">
        <v>622</v>
      </c>
      <c r="V600" s="134" t="s">
        <v>623</v>
      </c>
      <c r="W600" s="130" t="s">
        <v>1695</v>
      </c>
      <c r="X600" s="265">
        <v>1800225</v>
      </c>
      <c r="Y600" s="241">
        <v>1800225</v>
      </c>
      <c r="Z600" s="667">
        <v>1</v>
      </c>
      <c r="AA600" s="667" t="s">
        <v>1445</v>
      </c>
      <c r="AB600" s="656"/>
      <c r="AC600" s="245" t="s">
        <v>129</v>
      </c>
      <c r="AD600" s="657" t="s">
        <v>146</v>
      </c>
      <c r="AE600" s="582"/>
      <c r="AF600" s="582"/>
      <c r="AG600" s="658" t="s">
        <v>131</v>
      </c>
      <c r="AH600" s="555">
        <v>0</v>
      </c>
      <c r="AJ600" s="120"/>
      <c r="AK600" s="120" t="s">
        <v>147</v>
      </c>
      <c r="AL600" s="232" t="str">
        <f>VLOOKUP(AK600,'[3]17見直し計画'!$A$50:$AJ$584,6,0)</f>
        <v>　見直し計画策定以降の新規案件</v>
      </c>
      <c r="AM600" s="140">
        <f>VLOOKUP(AK600,'[3]17見直し計画'!$A$50:$AJ$584,8,0)</f>
        <v>0</v>
      </c>
      <c r="AN600" s="180"/>
      <c r="AO600" s="141">
        <f>VLOOKUP(AK600,'[3]17見直し計画'!$A$50:$AJ$584,11,0)</f>
        <v>0</v>
      </c>
      <c r="AP600" s="140">
        <f>VLOOKUP(AK600,'[3]17見直し計画'!$A$50:$AJ$584,12,0)</f>
        <v>0</v>
      </c>
      <c r="AQ600" s="140">
        <f>VLOOKUP(AK600,'[3]17見直し計画'!$A$50:$AJ$584,13,0)</f>
        <v>0</v>
      </c>
      <c r="AR600" s="140">
        <f>VLOOKUP(AK600,'[3]17見直し計画'!$A$50:$AJ$584,14,0)</f>
        <v>0</v>
      </c>
      <c r="AS600" s="140"/>
      <c r="AT600" s="140">
        <f>VLOOKUP(AK600,'[3]17見直し計画'!$A$50:$AJ$584,35,0)</f>
        <v>0</v>
      </c>
      <c r="AU600" s="140">
        <f>VLOOKUP(AK600,'[3]17見直し計画'!$A$50:$AJ$584,36,0)</f>
        <v>0</v>
      </c>
    </row>
    <row r="601" spans="1:47" ht="99.75" hidden="1" customHeight="1">
      <c r="B601" s="120" t="s">
        <v>2692</v>
      </c>
      <c r="C601" s="120" t="s">
        <v>135</v>
      </c>
      <c r="D601" s="120" t="s">
        <v>136</v>
      </c>
      <c r="E601">
        <f t="shared" si="45"/>
        <v>515</v>
      </c>
      <c r="F601" s="122">
        <v>23</v>
      </c>
      <c r="G601" s="122">
        <v>23</v>
      </c>
      <c r="H601" s="412">
        <v>2201751</v>
      </c>
      <c r="I601" s="412"/>
      <c r="J601" s="412" t="s">
        <v>2755</v>
      </c>
      <c r="K601" s="412" t="s">
        <v>195</v>
      </c>
      <c r="L601" s="412" t="s">
        <v>1182</v>
      </c>
      <c r="M601" s="412" t="s">
        <v>2541</v>
      </c>
      <c r="N601" s="120" t="s">
        <v>1003</v>
      </c>
      <c r="O601" s="659" t="s">
        <v>139</v>
      </c>
      <c r="P601" s="555" t="s">
        <v>122</v>
      </c>
      <c r="Q601" s="653">
        <v>23</v>
      </c>
      <c r="R601" s="130" t="s">
        <v>2756</v>
      </c>
      <c r="S601" s="263" t="s">
        <v>2750</v>
      </c>
      <c r="T601" s="654">
        <v>40597</v>
      </c>
      <c r="U601" s="133" t="s">
        <v>222</v>
      </c>
      <c r="V601" s="134" t="s">
        <v>333</v>
      </c>
      <c r="W601" s="130" t="s">
        <v>1695</v>
      </c>
      <c r="X601" s="265">
        <v>13036800</v>
      </c>
      <c r="Y601" s="241">
        <v>13036800</v>
      </c>
      <c r="Z601" s="667">
        <v>1</v>
      </c>
      <c r="AA601" s="667" t="s">
        <v>1445</v>
      </c>
      <c r="AB601" s="656"/>
      <c r="AC601" s="245" t="s">
        <v>129</v>
      </c>
      <c r="AD601" s="657" t="s">
        <v>146</v>
      </c>
      <c r="AE601" s="582"/>
      <c r="AF601" s="582"/>
      <c r="AG601" s="658" t="s">
        <v>131</v>
      </c>
      <c r="AH601" s="555">
        <v>0</v>
      </c>
      <c r="AJ601" s="120"/>
      <c r="AK601" s="120" t="s">
        <v>147</v>
      </c>
      <c r="AL601" s="232" t="str">
        <f>VLOOKUP(AK601,'[3]17見直し計画'!$A$50:$AJ$584,6,0)</f>
        <v>　見直し計画策定以降の新規案件</v>
      </c>
      <c r="AM601" s="140">
        <f>VLOOKUP(AK601,'[3]17見直し計画'!$A$50:$AJ$584,8,0)</f>
        <v>0</v>
      </c>
      <c r="AN601" s="180"/>
      <c r="AO601" s="141">
        <f>VLOOKUP(AK601,'[3]17見直し計画'!$A$50:$AJ$584,11,0)</f>
        <v>0</v>
      </c>
      <c r="AP601" s="140">
        <f>VLOOKUP(AK601,'[3]17見直し計画'!$A$50:$AJ$584,12,0)</f>
        <v>0</v>
      </c>
      <c r="AQ601" s="140">
        <f>VLOOKUP(AK601,'[3]17見直し計画'!$A$50:$AJ$584,13,0)</f>
        <v>0</v>
      </c>
      <c r="AR601" s="140">
        <f>VLOOKUP(AK601,'[3]17見直し計画'!$A$50:$AJ$584,14,0)</f>
        <v>0</v>
      </c>
      <c r="AS601" s="140"/>
      <c r="AT601" s="140">
        <f>VLOOKUP(AK601,'[3]17見直し計画'!$A$50:$AJ$584,35,0)</f>
        <v>0</v>
      </c>
      <c r="AU601" s="140">
        <f>VLOOKUP(AK601,'[3]17見直し計画'!$A$50:$AJ$584,36,0)</f>
        <v>0</v>
      </c>
    </row>
    <row r="602" spans="1:47" ht="99.75" hidden="1" customHeight="1">
      <c r="B602" s="631" t="s">
        <v>2757</v>
      </c>
      <c r="C602" s="120" t="s">
        <v>135</v>
      </c>
      <c r="D602" s="120" t="s">
        <v>136</v>
      </c>
      <c r="E602">
        <f t="shared" si="45"/>
        <v>516</v>
      </c>
      <c r="F602" s="122">
        <v>24</v>
      </c>
      <c r="G602" s="122">
        <v>24</v>
      </c>
      <c r="H602" s="412">
        <v>2201660</v>
      </c>
      <c r="I602" s="412"/>
      <c r="J602" s="412" t="s">
        <v>2758</v>
      </c>
      <c r="K602" s="412" t="s">
        <v>229</v>
      </c>
      <c r="L602" s="412" t="s">
        <v>1163</v>
      </c>
      <c r="M602" s="412" t="s">
        <v>1761</v>
      </c>
      <c r="N602" s="120" t="s">
        <v>1003</v>
      </c>
      <c r="O602" s="659" t="s">
        <v>139</v>
      </c>
      <c r="P602" s="555" t="s">
        <v>122</v>
      </c>
      <c r="Q602" s="653">
        <v>24</v>
      </c>
      <c r="R602" s="130" t="s">
        <v>2759</v>
      </c>
      <c r="S602" s="263" t="s">
        <v>125</v>
      </c>
      <c r="T602" s="654">
        <v>40602</v>
      </c>
      <c r="U602" s="133" t="s">
        <v>2760</v>
      </c>
      <c r="V602" s="134" t="s">
        <v>2761</v>
      </c>
      <c r="W602" s="130" t="s">
        <v>2762</v>
      </c>
      <c r="X602" s="265">
        <v>42000000</v>
      </c>
      <c r="Y602" s="241">
        <v>42000000</v>
      </c>
      <c r="Z602" s="667">
        <v>1</v>
      </c>
      <c r="AA602" s="667" t="s">
        <v>1445</v>
      </c>
      <c r="AB602" s="656"/>
      <c r="AC602" s="245" t="s">
        <v>129</v>
      </c>
      <c r="AD602" s="657" t="s">
        <v>146</v>
      </c>
      <c r="AE602" s="582"/>
      <c r="AF602" s="582"/>
      <c r="AG602" s="658" t="s">
        <v>131</v>
      </c>
      <c r="AH602" s="555">
        <v>0</v>
      </c>
      <c r="AJ602" s="120"/>
      <c r="AK602" s="120" t="s">
        <v>147</v>
      </c>
      <c r="AL602" s="232" t="str">
        <f>VLOOKUP(AK602,'[3]17見直し計画'!$A$50:$AJ$584,6,0)</f>
        <v>　見直し計画策定以降の新規案件</v>
      </c>
      <c r="AM602" s="140">
        <f>VLOOKUP(AK602,'[3]17見直し計画'!$A$50:$AJ$584,8,0)</f>
        <v>0</v>
      </c>
      <c r="AN602" s="180"/>
      <c r="AO602" s="141">
        <f>VLOOKUP(AK602,'[3]17見直し計画'!$A$50:$AJ$584,11,0)</f>
        <v>0</v>
      </c>
      <c r="AP602" s="140">
        <f>VLOOKUP(AK602,'[3]17見直し計画'!$A$50:$AJ$584,12,0)</f>
        <v>0</v>
      </c>
      <c r="AQ602" s="140">
        <f>VLOOKUP(AK602,'[3]17見直し計画'!$A$50:$AJ$584,13,0)</f>
        <v>0</v>
      </c>
      <c r="AR602" s="140">
        <f>VLOOKUP(AK602,'[3]17見直し計画'!$A$50:$AJ$584,14,0)</f>
        <v>0</v>
      </c>
      <c r="AS602" s="140"/>
      <c r="AT602" s="140">
        <f>VLOOKUP(AK602,'[3]17見直し計画'!$A$50:$AJ$584,35,0)</f>
        <v>0</v>
      </c>
      <c r="AU602" s="140">
        <f>VLOOKUP(AK602,'[3]17見直し計画'!$A$50:$AJ$584,36,0)</f>
        <v>0</v>
      </c>
    </row>
    <row r="603" spans="1:47" ht="99.75" hidden="1" customHeight="1">
      <c r="B603" s="182"/>
      <c r="C603" s="182"/>
      <c r="D603" s="223" t="s">
        <v>421</v>
      </c>
      <c r="E603">
        <f t="shared" si="45"/>
        <v>517</v>
      </c>
      <c r="F603" s="185">
        <v>25</v>
      </c>
      <c r="G603" s="185">
        <v>25</v>
      </c>
      <c r="H603" s="406">
        <v>2201819</v>
      </c>
      <c r="I603" s="406"/>
      <c r="J603" s="406" t="s">
        <v>2763</v>
      </c>
      <c r="K603" s="406" t="s">
        <v>2721</v>
      </c>
      <c r="L603" s="406" t="s">
        <v>1190</v>
      </c>
      <c r="M603" s="406" t="s">
        <v>1448</v>
      </c>
      <c r="N603" s="182" t="s">
        <v>1608</v>
      </c>
      <c r="O603" s="661" t="s">
        <v>139</v>
      </c>
      <c r="P603" s="328" t="s">
        <v>2251</v>
      </c>
      <c r="Q603" s="662">
        <v>25</v>
      </c>
      <c r="R603" s="193" t="s">
        <v>2764</v>
      </c>
      <c r="S603" s="273" t="s">
        <v>125</v>
      </c>
      <c r="T603" s="663">
        <v>40602</v>
      </c>
      <c r="U603" s="196" t="s">
        <v>2723</v>
      </c>
      <c r="V603" s="197" t="s">
        <v>2724</v>
      </c>
      <c r="W603" s="193" t="s">
        <v>1747</v>
      </c>
      <c r="X603" s="275">
        <v>9022891</v>
      </c>
      <c r="Y603" s="331">
        <v>8584287</v>
      </c>
      <c r="Z603" s="664">
        <v>0.95099999999999996</v>
      </c>
      <c r="AA603" s="664" t="s">
        <v>1445</v>
      </c>
      <c r="AB603" s="665"/>
      <c r="AC603" s="363">
        <v>3</v>
      </c>
      <c r="AD603" s="666" t="s">
        <v>237</v>
      </c>
      <c r="AE603" s="599"/>
      <c r="AF603" s="599"/>
      <c r="AG603" s="407" t="s">
        <v>131</v>
      </c>
      <c r="AH603" s="553">
        <v>3</v>
      </c>
      <c r="AI603" s="184"/>
      <c r="AJ603" s="182"/>
      <c r="AK603" s="182" t="s">
        <v>147</v>
      </c>
      <c r="AL603" s="231" t="str">
        <f>VLOOKUP(AK603,'[3]17見直し計画'!$A$50:$AJ$584,6,0)</f>
        <v>　見直し計画策定以降の新規案件</v>
      </c>
      <c r="AM603" s="204">
        <f>VLOOKUP(AK603,'[3]17見直し計画'!$A$50:$AJ$584,8,0)</f>
        <v>0</v>
      </c>
      <c r="AN603" s="224"/>
      <c r="AO603" s="205">
        <f>VLOOKUP(AK603,'[3]17見直し計画'!$A$50:$AJ$584,11,0)</f>
        <v>0</v>
      </c>
      <c r="AP603" s="204">
        <f>VLOOKUP(AK603,'[3]17見直し計画'!$A$50:$AJ$584,12,0)</f>
        <v>0</v>
      </c>
      <c r="AQ603" s="204">
        <f>VLOOKUP(AK603,'[3]17見直し計画'!$A$50:$AJ$584,13,0)</f>
        <v>0</v>
      </c>
      <c r="AR603" s="204">
        <f>VLOOKUP(AK603,'[3]17見直し計画'!$A$50:$AJ$584,14,0)</f>
        <v>0</v>
      </c>
      <c r="AS603" s="204"/>
      <c r="AT603" s="204">
        <f>VLOOKUP(AK603,'[3]17見直し計画'!$A$50:$AJ$584,35,0)</f>
        <v>0</v>
      </c>
      <c r="AU603" s="204">
        <f>VLOOKUP(AK603,'[3]17見直し計画'!$A$50:$AJ$584,36,0)</f>
        <v>0</v>
      </c>
    </row>
    <row r="604" spans="1:47" ht="99.75" hidden="1" customHeight="1">
      <c r="B604" s="120" t="s">
        <v>2692</v>
      </c>
      <c r="C604" s="120" t="s">
        <v>135</v>
      </c>
      <c r="D604" s="120" t="s">
        <v>136</v>
      </c>
      <c r="E604">
        <f t="shared" si="45"/>
        <v>518</v>
      </c>
      <c r="F604" s="122">
        <v>26</v>
      </c>
      <c r="G604" s="122">
        <v>26</v>
      </c>
      <c r="H604" s="412">
        <v>2201769</v>
      </c>
      <c r="I604" s="412"/>
      <c r="J604" s="412" t="s">
        <v>2765</v>
      </c>
      <c r="K604" s="412" t="s">
        <v>286</v>
      </c>
      <c r="L604" s="412" t="s">
        <v>1182</v>
      </c>
      <c r="M604" s="412" t="s">
        <v>1183</v>
      </c>
      <c r="N604" s="120" t="s">
        <v>1003</v>
      </c>
      <c r="O604" s="659" t="s">
        <v>139</v>
      </c>
      <c r="P604" s="555" t="s">
        <v>122</v>
      </c>
      <c r="Q604" s="653">
        <v>26</v>
      </c>
      <c r="R604" s="130" t="s">
        <v>2766</v>
      </c>
      <c r="S604" s="263" t="s">
        <v>125</v>
      </c>
      <c r="T604" s="654">
        <v>40602</v>
      </c>
      <c r="U604" s="133" t="s">
        <v>2767</v>
      </c>
      <c r="V604" s="134" t="s">
        <v>604</v>
      </c>
      <c r="W604" s="130" t="s">
        <v>1695</v>
      </c>
      <c r="X604" s="265">
        <v>6139350</v>
      </c>
      <c r="Y604" s="241">
        <v>6139350</v>
      </c>
      <c r="Z604" s="667">
        <v>1</v>
      </c>
      <c r="AA604" s="667" t="s">
        <v>1445</v>
      </c>
      <c r="AB604" s="656"/>
      <c r="AC604" s="245" t="s">
        <v>129</v>
      </c>
      <c r="AD604" s="657" t="s">
        <v>146</v>
      </c>
      <c r="AE604" s="582"/>
      <c r="AF604" s="582"/>
      <c r="AG604" s="658" t="s">
        <v>131</v>
      </c>
      <c r="AH604" s="555">
        <v>0</v>
      </c>
      <c r="AJ604" s="120"/>
      <c r="AK604" s="120" t="s">
        <v>147</v>
      </c>
      <c r="AL604" s="232" t="str">
        <f>VLOOKUP(AK604,'[3]17見直し計画'!$A$50:$AJ$584,6,0)</f>
        <v>　見直し計画策定以降の新規案件</v>
      </c>
      <c r="AM604" s="140">
        <f>VLOOKUP(AK604,'[3]17見直し計画'!$A$50:$AJ$584,8,0)</f>
        <v>0</v>
      </c>
      <c r="AN604" s="180"/>
      <c r="AO604" s="141">
        <f>VLOOKUP(AK604,'[3]17見直し計画'!$A$50:$AJ$584,11,0)</f>
        <v>0</v>
      </c>
      <c r="AP604" s="140">
        <f>VLOOKUP(AK604,'[3]17見直し計画'!$A$50:$AJ$584,12,0)</f>
        <v>0</v>
      </c>
      <c r="AQ604" s="140">
        <f>VLOOKUP(AK604,'[3]17見直し計画'!$A$50:$AJ$584,13,0)</f>
        <v>0</v>
      </c>
      <c r="AR604" s="140">
        <f>VLOOKUP(AK604,'[3]17見直し計画'!$A$50:$AJ$584,14,0)</f>
        <v>0</v>
      </c>
      <c r="AS604" s="140"/>
      <c r="AT604" s="140">
        <f>VLOOKUP(AK604,'[3]17見直し計画'!$A$50:$AJ$584,35,0)</f>
        <v>0</v>
      </c>
      <c r="AU604" s="140">
        <f>VLOOKUP(AK604,'[3]17見直し計画'!$A$50:$AJ$584,36,0)</f>
        <v>0</v>
      </c>
    </row>
    <row r="605" spans="1:47" ht="99.75" hidden="1" customHeight="1">
      <c r="B605" s="110" t="s">
        <v>2692</v>
      </c>
      <c r="C605" s="110" t="s">
        <v>135</v>
      </c>
      <c r="D605" s="110" t="s">
        <v>136</v>
      </c>
      <c r="E605">
        <f t="shared" si="45"/>
        <v>519</v>
      </c>
      <c r="F605" s="456">
        <v>27</v>
      </c>
      <c r="G605" s="456">
        <v>27</v>
      </c>
      <c r="H605" s="468">
        <v>2201747</v>
      </c>
      <c r="I605" s="468"/>
      <c r="J605" s="468" t="s">
        <v>2768</v>
      </c>
      <c r="K605" s="468" t="s">
        <v>195</v>
      </c>
      <c r="L605" s="468" t="s">
        <v>1182</v>
      </c>
      <c r="M605" s="468" t="s">
        <v>1183</v>
      </c>
      <c r="N605" s="110" t="s">
        <v>1003</v>
      </c>
      <c r="O605" s="668" t="s">
        <v>139</v>
      </c>
      <c r="P605" s="669" t="s">
        <v>122</v>
      </c>
      <c r="Q605" s="670">
        <v>27</v>
      </c>
      <c r="R605" s="671" t="s">
        <v>2769</v>
      </c>
      <c r="S605" s="672" t="s">
        <v>125</v>
      </c>
      <c r="T605" s="673">
        <v>40602</v>
      </c>
      <c r="U605" s="674" t="s">
        <v>468</v>
      </c>
      <c r="V605" s="675" t="s">
        <v>469</v>
      </c>
      <c r="W605" s="671" t="s">
        <v>1695</v>
      </c>
      <c r="X605" s="676">
        <v>2723432</v>
      </c>
      <c r="Y605" s="677">
        <v>2723432</v>
      </c>
      <c r="Z605" s="678">
        <v>1</v>
      </c>
      <c r="AA605" s="678" t="s">
        <v>1445</v>
      </c>
      <c r="AB605" s="679"/>
      <c r="AC605" s="680" t="s">
        <v>129</v>
      </c>
      <c r="AD605" s="681" t="s">
        <v>146</v>
      </c>
      <c r="AE605" s="591"/>
      <c r="AF605" s="591"/>
      <c r="AG605" s="682" t="s">
        <v>131</v>
      </c>
      <c r="AH605" s="669">
        <v>0</v>
      </c>
      <c r="AJ605" s="120"/>
      <c r="AK605" s="120" t="s">
        <v>147</v>
      </c>
      <c r="AL605" s="232" t="str">
        <f>VLOOKUP(AK605,'[3]17見直し計画'!$A$50:$AJ$584,6,0)</f>
        <v>　見直し計画策定以降の新規案件</v>
      </c>
      <c r="AM605" s="140">
        <f>VLOOKUP(AK605,'[3]17見直し計画'!$A$50:$AJ$584,8,0)</f>
        <v>0</v>
      </c>
      <c r="AN605" s="180"/>
      <c r="AO605" s="141">
        <f>VLOOKUP(AK605,'[3]17見直し計画'!$A$50:$AJ$584,11,0)</f>
        <v>0</v>
      </c>
      <c r="AP605" s="140">
        <f>VLOOKUP(AK605,'[3]17見直し計画'!$A$50:$AJ$584,12,0)</f>
        <v>0</v>
      </c>
      <c r="AQ605" s="140">
        <f>VLOOKUP(AK605,'[3]17見直し計画'!$A$50:$AJ$584,13,0)</f>
        <v>0</v>
      </c>
      <c r="AR605" s="140">
        <f>VLOOKUP(AK605,'[3]17見直し計画'!$A$50:$AJ$584,14,0)</f>
        <v>0</v>
      </c>
      <c r="AS605" s="140"/>
      <c r="AT605" s="140">
        <f>VLOOKUP(AK605,'[3]17見直し計画'!$A$50:$AJ$584,35,0)</f>
        <v>0</v>
      </c>
      <c r="AU605" s="140">
        <f>VLOOKUP(AK605,'[3]17見直し計画'!$A$50:$AJ$584,36,0)</f>
        <v>0</v>
      </c>
    </row>
    <row r="606" spans="1:47" ht="99.75" hidden="1" customHeight="1">
      <c r="B606" s="110" t="s">
        <v>2692</v>
      </c>
      <c r="C606" s="110" t="s">
        <v>135</v>
      </c>
      <c r="D606" s="110" t="s">
        <v>136</v>
      </c>
      <c r="E606" s="177">
        <v>520</v>
      </c>
      <c r="F606" s="456">
        <v>28</v>
      </c>
      <c r="G606" s="456"/>
      <c r="H606" s="412">
        <v>2201766</v>
      </c>
      <c r="I606" s="412"/>
      <c r="J606" s="412" t="s">
        <v>2770</v>
      </c>
      <c r="K606" s="412" t="s">
        <v>2771</v>
      </c>
      <c r="L606" s="412" t="s">
        <v>1182</v>
      </c>
      <c r="M606" s="412" t="s">
        <v>2772</v>
      </c>
      <c r="N606" s="110" t="s">
        <v>1003</v>
      </c>
      <c r="O606" s="668" t="s">
        <v>139</v>
      </c>
      <c r="P606" s="669" t="s">
        <v>122</v>
      </c>
      <c r="Q606" s="670"/>
      <c r="R606" s="130" t="s">
        <v>2773</v>
      </c>
      <c r="S606" s="672" t="s">
        <v>125</v>
      </c>
      <c r="T606" s="654">
        <v>40602</v>
      </c>
      <c r="U606" s="133" t="s">
        <v>396</v>
      </c>
      <c r="V606" s="134" t="s">
        <v>397</v>
      </c>
      <c r="W606" s="671"/>
      <c r="X606" s="265">
        <v>5951190</v>
      </c>
      <c r="Y606" s="241">
        <v>5951190</v>
      </c>
      <c r="Z606" s="683">
        <f t="shared" ref="Z606" si="46">X606/Y606</f>
        <v>1</v>
      </c>
      <c r="AA606" s="667" t="s">
        <v>1445</v>
      </c>
      <c r="AB606" s="679"/>
      <c r="AC606" s="680" t="s">
        <v>129</v>
      </c>
      <c r="AD606" s="681" t="s">
        <v>146</v>
      </c>
      <c r="AE606" s="591"/>
      <c r="AF606" s="591"/>
      <c r="AG606" s="682" t="s">
        <v>131</v>
      </c>
      <c r="AH606" s="669">
        <v>0</v>
      </c>
      <c r="AJ606" s="120"/>
      <c r="AK606" s="120" t="s">
        <v>147</v>
      </c>
      <c r="AL606" s="232" t="str">
        <f>VLOOKUP(AK606,'[3]17見直し計画'!$A$50:$AJ$584,6,0)</f>
        <v>　見直し計画策定以降の新規案件</v>
      </c>
      <c r="AM606" s="140">
        <f>VLOOKUP(AK606,'[3]17見直し計画'!$A$50:$AJ$584,8,0)</f>
        <v>0</v>
      </c>
      <c r="AN606" s="180"/>
      <c r="AO606" s="141">
        <f>VLOOKUP(AK606,'[3]17見直し計画'!$A$50:$AJ$584,11,0)</f>
        <v>0</v>
      </c>
      <c r="AP606" s="140">
        <f>VLOOKUP(AK606,'[3]17見直し計画'!$A$50:$AJ$584,12,0)</f>
        <v>0</v>
      </c>
      <c r="AQ606" s="140">
        <f>VLOOKUP(AK606,'[3]17見直し計画'!$A$50:$AJ$584,13,0)</f>
        <v>0</v>
      </c>
      <c r="AR606" s="140">
        <f>VLOOKUP(AK606,'[3]17見直し計画'!$A$50:$AJ$584,14,0)</f>
        <v>0</v>
      </c>
      <c r="AS606" s="140"/>
      <c r="AT606" s="140">
        <f>VLOOKUP(AK606,'[3]17見直し計画'!$A$50:$AJ$584,35,0)</f>
        <v>0</v>
      </c>
      <c r="AU606" s="140">
        <f>VLOOKUP(AK606,'[3]17見直し計画'!$A$50:$AJ$584,36,0)</f>
        <v>0</v>
      </c>
    </row>
    <row r="607" spans="1:47" ht="67.5" hidden="1">
      <c r="A607" t="s">
        <v>2774</v>
      </c>
      <c r="B607" s="110" t="s">
        <v>2757</v>
      </c>
      <c r="C607" s="110" t="s">
        <v>135</v>
      </c>
      <c r="D607" s="110" t="s">
        <v>136</v>
      </c>
      <c r="E607">
        <v>521</v>
      </c>
      <c r="F607" s="123">
        <v>1</v>
      </c>
      <c r="G607" s="123">
        <v>1</v>
      </c>
      <c r="H607" s="412">
        <v>2201783</v>
      </c>
      <c r="I607" s="412"/>
      <c r="J607" s="261" t="s">
        <v>2775</v>
      </c>
      <c r="K607" s="412" t="s">
        <v>2776</v>
      </c>
      <c r="L607" s="412" t="s">
        <v>2777</v>
      </c>
      <c r="M607" s="412" t="s">
        <v>2778</v>
      </c>
      <c r="N607" s="120" t="s">
        <v>1003</v>
      </c>
      <c r="O607" s="684" t="s">
        <v>139</v>
      </c>
      <c r="P607" s="555" t="s">
        <v>122</v>
      </c>
      <c r="Q607" s="685" t="s">
        <v>2779</v>
      </c>
      <c r="R607" s="686" t="s">
        <v>2780</v>
      </c>
      <c r="S607" s="687" t="s">
        <v>125</v>
      </c>
      <c r="T607" s="688">
        <v>40603</v>
      </c>
      <c r="U607" s="689" t="s">
        <v>2781</v>
      </c>
      <c r="V607" s="690" t="s">
        <v>2782</v>
      </c>
      <c r="W607" s="686" t="s">
        <v>2783</v>
      </c>
      <c r="X607" s="655">
        <v>3631950</v>
      </c>
      <c r="Y607" s="325">
        <v>3631950</v>
      </c>
      <c r="Z607" s="655">
        <v>1</v>
      </c>
      <c r="AA607" s="691" t="s">
        <v>129</v>
      </c>
      <c r="AB607" s="656"/>
      <c r="AC607" s="582" t="s">
        <v>129</v>
      </c>
      <c r="AD607" s="120" t="s">
        <v>146</v>
      </c>
      <c r="AE607" s="582"/>
      <c r="AF607" s="582"/>
      <c r="AG607" s="120" t="s">
        <v>131</v>
      </c>
      <c r="AH607" s="120">
        <v>0</v>
      </c>
      <c r="AJ607" s="120"/>
      <c r="AK607" s="120" t="s">
        <v>147</v>
      </c>
      <c r="AL607" s="232" t="str">
        <f>VLOOKUP(AK607,'[3]17見直し計画'!$A$50:$AJ$584,6,0)</f>
        <v>　見直し計画策定以降の新規案件</v>
      </c>
      <c r="AM607" s="140">
        <f>VLOOKUP(AK607,'[3]17見直し計画'!$A$50:$AJ$584,8,0)</f>
        <v>0</v>
      </c>
      <c r="AN607" s="180"/>
      <c r="AO607" s="141">
        <f>VLOOKUP(AK607,'[3]17見直し計画'!$A$50:$AJ$584,11,0)</f>
        <v>0</v>
      </c>
      <c r="AP607" s="140">
        <f>VLOOKUP(AK607,'[3]17見直し計画'!$A$50:$AJ$584,12,0)</f>
        <v>0</v>
      </c>
      <c r="AQ607" s="140">
        <f>VLOOKUP(AK607,'[3]17見直し計画'!$A$50:$AJ$584,13,0)</f>
        <v>0</v>
      </c>
      <c r="AR607" s="140">
        <f>VLOOKUP(AK607,'[3]17見直し計画'!$A$50:$AJ$584,14,0)</f>
        <v>0</v>
      </c>
      <c r="AS607" s="140"/>
      <c r="AT607" s="140">
        <f>VLOOKUP(AK607,'[3]17見直し計画'!$A$50:$AJ$584,35,0)</f>
        <v>0</v>
      </c>
      <c r="AU607" s="140">
        <f>VLOOKUP(AK607,'[3]17見直し計画'!$A$50:$AJ$584,36,0)</f>
        <v>0</v>
      </c>
    </row>
    <row r="608" spans="1:47" ht="56.25" hidden="1">
      <c r="B608" s="182"/>
      <c r="C608" s="182"/>
      <c r="D608" s="223" t="s">
        <v>421</v>
      </c>
      <c r="E608">
        <f t="shared" si="45"/>
        <v>522</v>
      </c>
      <c r="F608" s="692">
        <v>2</v>
      </c>
      <c r="G608" s="692">
        <v>2</v>
      </c>
      <c r="H608" s="693">
        <v>2201796</v>
      </c>
      <c r="I608" s="693"/>
      <c r="J608" s="694" t="s">
        <v>2784</v>
      </c>
      <c r="K608" s="693" t="s">
        <v>177</v>
      </c>
      <c r="L608" s="693" t="s">
        <v>1163</v>
      </c>
      <c r="M608" s="693" t="s">
        <v>2477</v>
      </c>
      <c r="N608" s="695" t="s">
        <v>1608</v>
      </c>
      <c r="O608" s="696" t="s">
        <v>139</v>
      </c>
      <c r="P608" s="328" t="s">
        <v>2251</v>
      </c>
      <c r="Q608" s="697" t="s">
        <v>2785</v>
      </c>
      <c r="R608" s="698" t="s">
        <v>2786</v>
      </c>
      <c r="S608" s="699" t="s">
        <v>125</v>
      </c>
      <c r="T608" s="700">
        <v>40605</v>
      </c>
      <c r="U608" s="701" t="s">
        <v>2787</v>
      </c>
      <c r="V608" s="702" t="s">
        <v>2788</v>
      </c>
      <c r="W608" s="698" t="s">
        <v>1643</v>
      </c>
      <c r="X608" s="703">
        <v>2102446</v>
      </c>
      <c r="Y608" s="704">
        <v>2100000</v>
      </c>
      <c r="Z608" s="705">
        <v>0.998</v>
      </c>
      <c r="AA608" s="706" t="s">
        <v>129</v>
      </c>
      <c r="AB608" s="707"/>
      <c r="AC608" s="708">
        <v>1</v>
      </c>
      <c r="AD608" s="695" t="s">
        <v>631</v>
      </c>
      <c r="AE608" s="708"/>
      <c r="AF608" s="708"/>
      <c r="AG608" s="695" t="s">
        <v>131</v>
      </c>
      <c r="AH608" s="695">
        <v>1</v>
      </c>
      <c r="AJ608" s="120"/>
      <c r="AK608" s="120" t="s">
        <v>147</v>
      </c>
      <c r="AL608" s="232" t="str">
        <f>VLOOKUP(AK608,'[3]17見直し計画'!$A$50:$AJ$584,6,0)</f>
        <v>　見直し計画策定以降の新規案件</v>
      </c>
      <c r="AM608" s="140">
        <f>VLOOKUP(AK608,'[3]17見直し計画'!$A$50:$AJ$584,8,0)</f>
        <v>0</v>
      </c>
      <c r="AN608" s="180"/>
      <c r="AO608" s="141">
        <f>VLOOKUP(AK608,'[3]17見直し計画'!$A$50:$AJ$584,11,0)</f>
        <v>0</v>
      </c>
      <c r="AP608" s="140">
        <f>VLOOKUP(AK608,'[3]17見直し計画'!$A$50:$AJ$584,12,0)</f>
        <v>0</v>
      </c>
      <c r="AQ608" s="140">
        <f>VLOOKUP(AK608,'[3]17見直し計画'!$A$50:$AJ$584,13,0)</f>
        <v>0</v>
      </c>
      <c r="AR608" s="140">
        <f>VLOOKUP(AK608,'[3]17見直し計画'!$A$50:$AJ$584,14,0)</f>
        <v>0</v>
      </c>
      <c r="AS608" s="140"/>
      <c r="AT608" s="140">
        <f>VLOOKUP(AK608,'[3]17見直し計画'!$A$50:$AJ$584,35,0)</f>
        <v>0</v>
      </c>
      <c r="AU608" s="140">
        <f>VLOOKUP(AK608,'[3]17見直し計画'!$A$50:$AJ$584,36,0)</f>
        <v>0</v>
      </c>
    </row>
    <row r="609" spans="1:47" ht="56.25" hidden="1">
      <c r="B609" s="110" t="s">
        <v>2757</v>
      </c>
      <c r="C609" s="110" t="s">
        <v>135</v>
      </c>
      <c r="D609" s="110" t="s">
        <v>136</v>
      </c>
      <c r="E609">
        <f t="shared" si="45"/>
        <v>523</v>
      </c>
      <c r="F609" s="123">
        <v>3</v>
      </c>
      <c r="G609" s="123">
        <v>3</v>
      </c>
      <c r="H609" s="412">
        <v>2201795</v>
      </c>
      <c r="I609" s="412"/>
      <c r="J609" s="261" t="s">
        <v>2789</v>
      </c>
      <c r="K609" s="412" t="s">
        <v>195</v>
      </c>
      <c r="L609" s="412" t="s">
        <v>1182</v>
      </c>
      <c r="M609" s="412" t="s">
        <v>2541</v>
      </c>
      <c r="N609" s="120" t="s">
        <v>1003</v>
      </c>
      <c r="O609" s="684" t="s">
        <v>139</v>
      </c>
      <c r="P609" s="555" t="s">
        <v>122</v>
      </c>
      <c r="Q609" s="685" t="s">
        <v>2790</v>
      </c>
      <c r="R609" s="686" t="s">
        <v>2791</v>
      </c>
      <c r="S609" s="687" t="s">
        <v>125</v>
      </c>
      <c r="T609" s="688">
        <v>40606</v>
      </c>
      <c r="U609" s="689" t="s">
        <v>2792</v>
      </c>
      <c r="V609" s="690" t="s">
        <v>2361</v>
      </c>
      <c r="W609" s="686" t="s">
        <v>2566</v>
      </c>
      <c r="X609" s="655">
        <v>2179275</v>
      </c>
      <c r="Y609" s="325">
        <v>2179275</v>
      </c>
      <c r="Z609" s="660">
        <v>1</v>
      </c>
      <c r="AA609" s="667" t="s">
        <v>129</v>
      </c>
      <c r="AB609" s="656"/>
      <c r="AC609" s="582" t="s">
        <v>129</v>
      </c>
      <c r="AD609" s="120" t="s">
        <v>146</v>
      </c>
      <c r="AE609" s="582"/>
      <c r="AF609" s="582"/>
      <c r="AG609" s="120" t="s">
        <v>131</v>
      </c>
      <c r="AH609" s="120">
        <v>0</v>
      </c>
      <c r="AJ609" s="120"/>
      <c r="AK609" s="120" t="s">
        <v>147</v>
      </c>
      <c r="AL609" s="232" t="str">
        <f>VLOOKUP(AK609,'[3]17見直し計画'!$A$50:$AJ$584,6,0)</f>
        <v>　見直し計画策定以降の新規案件</v>
      </c>
      <c r="AM609" s="140">
        <f>VLOOKUP(AK609,'[3]17見直し計画'!$A$50:$AJ$584,8,0)</f>
        <v>0</v>
      </c>
      <c r="AN609" s="180"/>
      <c r="AO609" s="141">
        <f>VLOOKUP(AK609,'[3]17見直し計画'!$A$50:$AJ$584,11,0)</f>
        <v>0</v>
      </c>
      <c r="AP609" s="140">
        <f>VLOOKUP(AK609,'[3]17見直し計画'!$A$50:$AJ$584,12,0)</f>
        <v>0</v>
      </c>
      <c r="AQ609" s="140">
        <f>VLOOKUP(AK609,'[3]17見直し計画'!$A$50:$AJ$584,13,0)</f>
        <v>0</v>
      </c>
      <c r="AR609" s="140">
        <f>VLOOKUP(AK609,'[3]17見直し計画'!$A$50:$AJ$584,14,0)</f>
        <v>0</v>
      </c>
      <c r="AS609" s="140"/>
      <c r="AT609" s="140">
        <f>VLOOKUP(AK609,'[3]17見直し計画'!$A$50:$AJ$584,35,0)</f>
        <v>0</v>
      </c>
      <c r="AU609" s="140">
        <f>VLOOKUP(AK609,'[3]17見直し計画'!$A$50:$AJ$584,36,0)</f>
        <v>0</v>
      </c>
    </row>
    <row r="610" spans="1:47" ht="56.25" hidden="1">
      <c r="B610" s="110" t="s">
        <v>2757</v>
      </c>
      <c r="C610" s="110" t="s">
        <v>135</v>
      </c>
      <c r="D610" s="110" t="s">
        <v>136</v>
      </c>
      <c r="E610">
        <f t="shared" si="45"/>
        <v>524</v>
      </c>
      <c r="F610" s="123">
        <v>4</v>
      </c>
      <c r="G610" s="123">
        <v>4</v>
      </c>
      <c r="H610" s="412">
        <v>2201878</v>
      </c>
      <c r="I610" s="412"/>
      <c r="J610" s="261" t="s">
        <v>2793</v>
      </c>
      <c r="K610" s="412" t="s">
        <v>1397</v>
      </c>
      <c r="L610" s="412" t="s">
        <v>1163</v>
      </c>
      <c r="M610" s="412" t="s">
        <v>2477</v>
      </c>
      <c r="N610" s="120" t="s">
        <v>1003</v>
      </c>
      <c r="O610" s="684" t="s">
        <v>139</v>
      </c>
      <c r="P610" s="555" t="s">
        <v>122</v>
      </c>
      <c r="Q610" s="685" t="s">
        <v>2794</v>
      </c>
      <c r="R610" s="686" t="s">
        <v>2795</v>
      </c>
      <c r="S610" s="687" t="s">
        <v>125</v>
      </c>
      <c r="T610" s="688">
        <v>40610</v>
      </c>
      <c r="U610" s="689" t="s">
        <v>2796</v>
      </c>
      <c r="V610" s="690" t="s">
        <v>2797</v>
      </c>
      <c r="W610" s="686" t="s">
        <v>2798</v>
      </c>
      <c r="X610" s="655">
        <v>2080000</v>
      </c>
      <c r="Y610" s="325">
        <v>2080000</v>
      </c>
      <c r="Z610" s="667">
        <v>1</v>
      </c>
      <c r="AA610" s="667" t="s">
        <v>129</v>
      </c>
      <c r="AB610" s="656"/>
      <c r="AC610" s="582" t="s">
        <v>129</v>
      </c>
      <c r="AD610" s="120" t="s">
        <v>146</v>
      </c>
      <c r="AE610" s="582"/>
      <c r="AF610" s="582"/>
      <c r="AG610" s="120" t="s">
        <v>131</v>
      </c>
      <c r="AH610" s="120">
        <v>0</v>
      </c>
      <c r="AJ610" s="120"/>
      <c r="AK610" s="120" t="s">
        <v>147</v>
      </c>
      <c r="AL610" s="232" t="str">
        <f>VLOOKUP(AK610,'[3]17見直し計画'!$A$50:$AJ$584,6,0)</f>
        <v>　見直し計画策定以降の新規案件</v>
      </c>
      <c r="AM610" s="140">
        <f>VLOOKUP(AK610,'[3]17見直し計画'!$A$50:$AJ$584,8,0)</f>
        <v>0</v>
      </c>
      <c r="AN610" s="180"/>
      <c r="AO610" s="141">
        <f>VLOOKUP(AK610,'[3]17見直し計画'!$A$50:$AJ$584,11,0)</f>
        <v>0</v>
      </c>
      <c r="AP610" s="140">
        <f>VLOOKUP(AK610,'[3]17見直し計画'!$A$50:$AJ$584,12,0)</f>
        <v>0</v>
      </c>
      <c r="AQ610" s="140">
        <f>VLOOKUP(AK610,'[3]17見直し計画'!$A$50:$AJ$584,13,0)</f>
        <v>0</v>
      </c>
      <c r="AR610" s="140">
        <f>VLOOKUP(AK610,'[3]17見直し計画'!$A$50:$AJ$584,14,0)</f>
        <v>0</v>
      </c>
      <c r="AS610" s="140"/>
      <c r="AT610" s="140">
        <f>VLOOKUP(AK610,'[3]17見直し計画'!$A$50:$AJ$584,35,0)</f>
        <v>0</v>
      </c>
      <c r="AU610" s="140">
        <f>VLOOKUP(AK610,'[3]17見直し計画'!$A$50:$AJ$584,36,0)</f>
        <v>0</v>
      </c>
    </row>
    <row r="611" spans="1:47" ht="67.5" hidden="1">
      <c r="B611" s="110" t="s">
        <v>2757</v>
      </c>
      <c r="C611" s="110" t="s">
        <v>135</v>
      </c>
      <c r="D611" s="110" t="s">
        <v>136</v>
      </c>
      <c r="E611">
        <f t="shared" si="45"/>
        <v>525</v>
      </c>
      <c r="F611" s="123">
        <v>5</v>
      </c>
      <c r="G611" s="123">
        <v>5</v>
      </c>
      <c r="H611" s="412">
        <v>2201863</v>
      </c>
      <c r="I611" s="412"/>
      <c r="J611" s="261" t="s">
        <v>129</v>
      </c>
      <c r="K611" s="412" t="s">
        <v>345</v>
      </c>
      <c r="L611" s="412" t="s">
        <v>1163</v>
      </c>
      <c r="M611" s="412" t="s">
        <v>1456</v>
      </c>
      <c r="N611" s="120" t="s">
        <v>1003</v>
      </c>
      <c r="O611" s="684" t="s">
        <v>139</v>
      </c>
      <c r="P611" s="555" t="s">
        <v>122</v>
      </c>
      <c r="Q611" s="685" t="s">
        <v>2799</v>
      </c>
      <c r="R611" s="686" t="s">
        <v>2800</v>
      </c>
      <c r="S611" s="687" t="s">
        <v>125</v>
      </c>
      <c r="T611" s="688">
        <v>40610</v>
      </c>
      <c r="U611" s="689" t="s">
        <v>2801</v>
      </c>
      <c r="V611" s="690" t="s">
        <v>2802</v>
      </c>
      <c r="W611" s="686" t="s">
        <v>2803</v>
      </c>
      <c r="X611" s="655">
        <v>1680000</v>
      </c>
      <c r="Y611" s="325">
        <v>1680000</v>
      </c>
      <c r="Z611" s="667">
        <v>1</v>
      </c>
      <c r="AA611" s="667" t="s">
        <v>129</v>
      </c>
      <c r="AB611" s="656"/>
      <c r="AC611" s="582" t="s">
        <v>129</v>
      </c>
      <c r="AD611" s="120" t="s">
        <v>146</v>
      </c>
      <c r="AE611" s="582"/>
      <c r="AF611" s="582"/>
      <c r="AG611" s="120" t="s">
        <v>131</v>
      </c>
      <c r="AH611" s="120">
        <v>0</v>
      </c>
      <c r="AJ611" s="120"/>
      <c r="AK611" s="120" t="s">
        <v>147</v>
      </c>
      <c r="AL611" s="232" t="str">
        <f>VLOOKUP(AK611,'[3]17見直し計画'!$A$50:$AJ$584,6,0)</f>
        <v>　見直し計画策定以降の新規案件</v>
      </c>
      <c r="AM611" s="140">
        <f>VLOOKUP(AK611,'[3]17見直し計画'!$A$50:$AJ$584,8,0)</f>
        <v>0</v>
      </c>
      <c r="AN611" s="180"/>
      <c r="AO611" s="141">
        <f>VLOOKUP(AK611,'[3]17見直し計画'!$A$50:$AJ$584,11,0)</f>
        <v>0</v>
      </c>
      <c r="AP611" s="140">
        <f>VLOOKUP(AK611,'[3]17見直し計画'!$A$50:$AJ$584,12,0)</f>
        <v>0</v>
      </c>
      <c r="AQ611" s="140">
        <f>VLOOKUP(AK611,'[3]17見直し計画'!$A$50:$AJ$584,13,0)</f>
        <v>0</v>
      </c>
      <c r="AR611" s="140">
        <f>VLOOKUP(AK611,'[3]17見直し計画'!$A$50:$AJ$584,14,0)</f>
        <v>0</v>
      </c>
      <c r="AS611" s="140"/>
      <c r="AT611" s="140">
        <f>VLOOKUP(AK611,'[3]17見直し計画'!$A$50:$AJ$584,35,0)</f>
        <v>0</v>
      </c>
      <c r="AU611" s="140">
        <f>VLOOKUP(AK611,'[3]17見直し計画'!$A$50:$AJ$584,36,0)</f>
        <v>0</v>
      </c>
    </row>
    <row r="612" spans="1:47" ht="67.5" hidden="1">
      <c r="B612" s="110" t="s">
        <v>226</v>
      </c>
      <c r="C612" s="110" t="s">
        <v>226</v>
      </c>
      <c r="D612" s="120" t="s">
        <v>305</v>
      </c>
      <c r="E612">
        <f t="shared" si="45"/>
        <v>526</v>
      </c>
      <c r="F612" s="123">
        <v>6</v>
      </c>
      <c r="G612" s="123">
        <v>6</v>
      </c>
      <c r="H612" s="412">
        <v>2201911</v>
      </c>
      <c r="I612" s="412"/>
      <c r="J612" s="261" t="s">
        <v>2804</v>
      </c>
      <c r="K612" s="412" t="s">
        <v>1230</v>
      </c>
      <c r="L612" s="412" t="s">
        <v>1190</v>
      </c>
      <c r="M612" s="412" t="s">
        <v>1191</v>
      </c>
      <c r="N612" s="120" t="s">
        <v>1003</v>
      </c>
      <c r="O612" s="709" t="s">
        <v>139</v>
      </c>
      <c r="P612" s="555" t="s">
        <v>122</v>
      </c>
      <c r="Q612" s="685" t="s">
        <v>2805</v>
      </c>
      <c r="R612" s="686" t="s">
        <v>2806</v>
      </c>
      <c r="S612" s="687" t="s">
        <v>125</v>
      </c>
      <c r="T612" s="688">
        <v>40611</v>
      </c>
      <c r="U612" s="689" t="s">
        <v>2807</v>
      </c>
      <c r="V612" s="690" t="s">
        <v>750</v>
      </c>
      <c r="W612" s="686" t="s">
        <v>2808</v>
      </c>
      <c r="X612" s="655">
        <v>14068912</v>
      </c>
      <c r="Y612" s="325">
        <v>13860000</v>
      </c>
      <c r="Z612" s="667">
        <v>0.98499999999999999</v>
      </c>
      <c r="AA612" s="667" t="s">
        <v>129</v>
      </c>
      <c r="AB612" s="656"/>
      <c r="AC612" s="582">
        <v>3</v>
      </c>
      <c r="AD612" s="120" t="s">
        <v>2809</v>
      </c>
      <c r="AE612" s="582"/>
      <c r="AF612" s="582"/>
      <c r="AG612" s="120" t="s">
        <v>131</v>
      </c>
      <c r="AH612" s="120">
        <v>3</v>
      </c>
      <c r="AJ612" s="120"/>
      <c r="AK612" s="120" t="s">
        <v>147</v>
      </c>
      <c r="AL612" s="232" t="str">
        <f>VLOOKUP(AK612,'[3]17見直し計画'!$A$50:$AJ$584,6,0)</f>
        <v>　見直し計画策定以降の新規案件</v>
      </c>
      <c r="AM612" s="140">
        <f>VLOOKUP(AK612,'[3]17見直し計画'!$A$50:$AJ$584,8,0)</f>
        <v>0</v>
      </c>
      <c r="AN612" s="180"/>
      <c r="AO612" s="141">
        <f>VLOOKUP(AK612,'[3]17見直し計画'!$A$50:$AJ$584,11,0)</f>
        <v>0</v>
      </c>
      <c r="AP612" s="140">
        <f>VLOOKUP(AK612,'[3]17見直し計画'!$A$50:$AJ$584,12,0)</f>
        <v>0</v>
      </c>
      <c r="AQ612" s="140">
        <f>VLOOKUP(AK612,'[3]17見直し計画'!$A$50:$AJ$584,13,0)</f>
        <v>0</v>
      </c>
      <c r="AR612" s="140">
        <f>VLOOKUP(AK612,'[3]17見直し計画'!$A$50:$AJ$584,14,0)</f>
        <v>0</v>
      </c>
      <c r="AS612" s="140"/>
      <c r="AT612" s="140">
        <f>VLOOKUP(AK612,'[3]17見直し計画'!$A$50:$AJ$584,35,0)</f>
        <v>0</v>
      </c>
      <c r="AU612" s="140">
        <f>VLOOKUP(AK612,'[3]17見直し計画'!$A$50:$AJ$584,36,0)</f>
        <v>0</v>
      </c>
    </row>
    <row r="613" spans="1:47" ht="67.5" hidden="1">
      <c r="B613" s="110" t="s">
        <v>226</v>
      </c>
      <c r="C613" s="110" t="s">
        <v>226</v>
      </c>
      <c r="D613" s="120" t="s">
        <v>305</v>
      </c>
      <c r="E613">
        <f t="shared" si="45"/>
        <v>527</v>
      </c>
      <c r="F613" s="123">
        <v>7</v>
      </c>
      <c r="G613" s="123">
        <v>7</v>
      </c>
      <c r="H613" s="412">
        <v>2201886</v>
      </c>
      <c r="I613" s="412"/>
      <c r="J613" s="261" t="s">
        <v>129</v>
      </c>
      <c r="K613" s="412" t="s">
        <v>972</v>
      </c>
      <c r="L613" s="412" t="s">
        <v>1147</v>
      </c>
      <c r="M613" s="412" t="s">
        <v>1723</v>
      </c>
      <c r="N613" s="120" t="s">
        <v>1003</v>
      </c>
      <c r="O613" s="709" t="s">
        <v>139</v>
      </c>
      <c r="P613" s="555" t="s">
        <v>122</v>
      </c>
      <c r="Q613" s="685" t="s">
        <v>2810</v>
      </c>
      <c r="R613" s="686" t="s">
        <v>2811</v>
      </c>
      <c r="S613" s="687" t="s">
        <v>125</v>
      </c>
      <c r="T613" s="688">
        <v>40611</v>
      </c>
      <c r="U613" s="689" t="s">
        <v>2812</v>
      </c>
      <c r="V613" s="690" t="s">
        <v>2813</v>
      </c>
      <c r="W613" s="686" t="s">
        <v>2808</v>
      </c>
      <c r="X613" s="655">
        <v>2843567</v>
      </c>
      <c r="Y613" s="325">
        <v>2843127</v>
      </c>
      <c r="Z613" s="667">
        <v>0.999</v>
      </c>
      <c r="AA613" s="667" t="s">
        <v>129</v>
      </c>
      <c r="AB613" s="656"/>
      <c r="AC613" s="582">
        <v>2</v>
      </c>
      <c r="AD613" s="120" t="s">
        <v>1531</v>
      </c>
      <c r="AE613" s="582"/>
      <c r="AF613" s="582"/>
      <c r="AG613" s="120" t="s">
        <v>131</v>
      </c>
      <c r="AH613" s="120">
        <v>2</v>
      </c>
      <c r="AJ613" s="120"/>
      <c r="AK613" s="120" t="s">
        <v>147</v>
      </c>
      <c r="AL613" s="232" t="str">
        <f>VLOOKUP(AK613,'[3]17見直し計画'!$A$50:$AJ$584,6,0)</f>
        <v>　見直し計画策定以降の新規案件</v>
      </c>
      <c r="AM613" s="140">
        <f>VLOOKUP(AK613,'[3]17見直し計画'!$A$50:$AJ$584,8,0)</f>
        <v>0</v>
      </c>
      <c r="AN613" s="180"/>
      <c r="AO613" s="141">
        <f>VLOOKUP(AK613,'[3]17見直し計画'!$A$50:$AJ$584,11,0)</f>
        <v>0</v>
      </c>
      <c r="AP613" s="140">
        <f>VLOOKUP(AK613,'[3]17見直し計画'!$A$50:$AJ$584,12,0)</f>
        <v>0</v>
      </c>
      <c r="AQ613" s="140">
        <f>VLOOKUP(AK613,'[3]17見直し計画'!$A$50:$AJ$584,13,0)</f>
        <v>0</v>
      </c>
      <c r="AR613" s="140">
        <f>VLOOKUP(AK613,'[3]17見直し計画'!$A$50:$AJ$584,14,0)</f>
        <v>0</v>
      </c>
      <c r="AS613" s="140"/>
      <c r="AT613" s="140">
        <f>VLOOKUP(AK613,'[3]17見直し計画'!$A$50:$AJ$584,35,0)</f>
        <v>0</v>
      </c>
      <c r="AU613" s="140">
        <f>VLOOKUP(AK613,'[3]17見直し計画'!$A$50:$AJ$584,36,0)</f>
        <v>0</v>
      </c>
    </row>
    <row r="614" spans="1:47" ht="146.25" hidden="1">
      <c r="B614" s="207" t="s">
        <v>2814</v>
      </c>
      <c r="C614" s="710" t="s">
        <v>255</v>
      </c>
      <c r="D614" s="711" t="s">
        <v>247</v>
      </c>
      <c r="E614">
        <f t="shared" si="45"/>
        <v>528</v>
      </c>
      <c r="F614" s="123">
        <v>8</v>
      </c>
      <c r="G614" s="123">
        <v>8</v>
      </c>
      <c r="H614" s="412">
        <v>2201873</v>
      </c>
      <c r="I614" s="412"/>
      <c r="J614" s="261" t="s">
        <v>2815</v>
      </c>
      <c r="K614" s="412" t="s">
        <v>1230</v>
      </c>
      <c r="L614" s="412" t="s">
        <v>1163</v>
      </c>
      <c r="M614" s="412" t="s">
        <v>2477</v>
      </c>
      <c r="N614" s="120" t="s">
        <v>1003</v>
      </c>
      <c r="O614" s="684" t="s">
        <v>139</v>
      </c>
      <c r="P614" s="555" t="s">
        <v>122</v>
      </c>
      <c r="Q614" s="685" t="s">
        <v>2816</v>
      </c>
      <c r="R614" s="686" t="s">
        <v>2817</v>
      </c>
      <c r="S614" s="687" t="s">
        <v>125</v>
      </c>
      <c r="T614" s="688">
        <v>40611</v>
      </c>
      <c r="U614" s="689" t="s">
        <v>2818</v>
      </c>
      <c r="V614" s="690" t="s">
        <v>1233</v>
      </c>
      <c r="W614" s="686" t="s">
        <v>2819</v>
      </c>
      <c r="X614" s="655">
        <v>1234815</v>
      </c>
      <c r="Y614" s="325">
        <v>1234815</v>
      </c>
      <c r="Z614" s="667">
        <v>1</v>
      </c>
      <c r="AA614" s="667" t="s">
        <v>129</v>
      </c>
      <c r="AB614" s="656"/>
      <c r="AC614" s="582" t="s">
        <v>129</v>
      </c>
      <c r="AD614" s="120" t="s">
        <v>146</v>
      </c>
      <c r="AE614" s="582"/>
      <c r="AF614" s="582"/>
      <c r="AG614" s="120" t="s">
        <v>131</v>
      </c>
      <c r="AH614" s="120">
        <v>0</v>
      </c>
      <c r="AJ614" s="120"/>
      <c r="AK614" s="120" t="s">
        <v>147</v>
      </c>
      <c r="AL614" s="232" t="str">
        <f>VLOOKUP(AK614,'[3]17見直し計画'!$A$50:$AJ$584,6,0)</f>
        <v>　見直し計画策定以降の新規案件</v>
      </c>
      <c r="AM614" s="140">
        <f>VLOOKUP(AK614,'[3]17見直し計画'!$A$50:$AJ$584,8,0)</f>
        <v>0</v>
      </c>
      <c r="AN614" s="180"/>
      <c r="AO614" s="141">
        <f>VLOOKUP(AK614,'[3]17見直し計画'!$A$50:$AJ$584,11,0)</f>
        <v>0</v>
      </c>
      <c r="AP614" s="140">
        <f>VLOOKUP(AK614,'[3]17見直し計画'!$A$50:$AJ$584,12,0)</f>
        <v>0</v>
      </c>
      <c r="AQ614" s="140">
        <f>VLOOKUP(AK614,'[3]17見直し計画'!$A$50:$AJ$584,13,0)</f>
        <v>0</v>
      </c>
      <c r="AR614" s="140">
        <f>VLOOKUP(AK614,'[3]17見直し計画'!$A$50:$AJ$584,14,0)</f>
        <v>0</v>
      </c>
      <c r="AS614" s="140"/>
      <c r="AT614" s="140">
        <f>VLOOKUP(AK614,'[3]17見直し計画'!$A$50:$AJ$584,35,0)</f>
        <v>0</v>
      </c>
      <c r="AU614" s="140">
        <f>VLOOKUP(AK614,'[3]17見直し計画'!$A$50:$AJ$584,36,0)</f>
        <v>0</v>
      </c>
    </row>
    <row r="615" spans="1:47" ht="78.75" hidden="1">
      <c r="B615" s="110" t="s">
        <v>2757</v>
      </c>
      <c r="C615" s="110" t="s">
        <v>135</v>
      </c>
      <c r="D615" s="110" t="s">
        <v>136</v>
      </c>
      <c r="E615">
        <f t="shared" si="45"/>
        <v>529</v>
      </c>
      <c r="F615" s="123">
        <v>9</v>
      </c>
      <c r="G615" s="123">
        <v>9</v>
      </c>
      <c r="H615" s="412">
        <v>2201869</v>
      </c>
      <c r="I615" s="412"/>
      <c r="J615" s="261" t="s">
        <v>2820</v>
      </c>
      <c r="K615" s="412" t="s">
        <v>195</v>
      </c>
      <c r="L615" s="412" t="s">
        <v>1182</v>
      </c>
      <c r="M615" s="412" t="s">
        <v>2541</v>
      </c>
      <c r="N615" s="120" t="s">
        <v>1003</v>
      </c>
      <c r="O615" s="684" t="s">
        <v>139</v>
      </c>
      <c r="P615" s="555" t="s">
        <v>122</v>
      </c>
      <c r="Q615" s="685" t="s">
        <v>2821</v>
      </c>
      <c r="R615" s="686" t="s">
        <v>2822</v>
      </c>
      <c r="S615" s="687" t="s">
        <v>125</v>
      </c>
      <c r="T615" s="688">
        <v>40616</v>
      </c>
      <c r="U615" s="689" t="s">
        <v>2823</v>
      </c>
      <c r="V615" s="690" t="s">
        <v>2824</v>
      </c>
      <c r="W615" s="686" t="s">
        <v>2825</v>
      </c>
      <c r="X615" s="655">
        <v>1003680</v>
      </c>
      <c r="Y615" s="325">
        <v>1003680</v>
      </c>
      <c r="Z615" s="667">
        <v>1</v>
      </c>
      <c r="AA615" s="667" t="s">
        <v>129</v>
      </c>
      <c r="AB615" s="656"/>
      <c r="AC615" s="582" t="s">
        <v>129</v>
      </c>
      <c r="AD615" s="120" t="s">
        <v>146</v>
      </c>
      <c r="AE615" s="582"/>
      <c r="AF615" s="582"/>
      <c r="AG615" s="120" t="s">
        <v>131</v>
      </c>
      <c r="AH615" s="120">
        <v>0</v>
      </c>
      <c r="AJ615" s="120"/>
      <c r="AK615" s="120" t="s">
        <v>147</v>
      </c>
      <c r="AL615" s="232" t="str">
        <f>VLOOKUP(AK615,'[3]17見直し計画'!$A$50:$AJ$584,6,0)</f>
        <v>　見直し計画策定以降の新規案件</v>
      </c>
      <c r="AM615" s="140">
        <f>VLOOKUP(AK615,'[3]17見直し計画'!$A$50:$AJ$584,8,0)</f>
        <v>0</v>
      </c>
      <c r="AN615" s="180"/>
      <c r="AO615" s="141">
        <f>VLOOKUP(AK615,'[3]17見直し計画'!$A$50:$AJ$584,11,0)</f>
        <v>0</v>
      </c>
      <c r="AP615" s="140">
        <f>VLOOKUP(AK615,'[3]17見直し計画'!$A$50:$AJ$584,12,0)</f>
        <v>0</v>
      </c>
      <c r="AQ615" s="140">
        <f>VLOOKUP(AK615,'[3]17見直し計画'!$A$50:$AJ$584,13,0)</f>
        <v>0</v>
      </c>
      <c r="AR615" s="140">
        <f>VLOOKUP(AK615,'[3]17見直し計画'!$A$50:$AJ$584,14,0)</f>
        <v>0</v>
      </c>
      <c r="AS615" s="140"/>
      <c r="AT615" s="140">
        <f>VLOOKUP(AK615,'[3]17見直し計画'!$A$50:$AJ$584,35,0)</f>
        <v>0</v>
      </c>
      <c r="AU615" s="140">
        <f>VLOOKUP(AK615,'[3]17見直し計画'!$A$50:$AJ$584,36,0)</f>
        <v>0</v>
      </c>
    </row>
    <row r="616" spans="1:47" ht="56.25" hidden="1">
      <c r="B616" s="110" t="s">
        <v>2826</v>
      </c>
      <c r="C616" s="110" t="s">
        <v>135</v>
      </c>
      <c r="D616" s="110" t="s">
        <v>136</v>
      </c>
      <c r="E616">
        <f t="shared" si="45"/>
        <v>530</v>
      </c>
      <c r="F616" s="123">
        <v>10</v>
      </c>
      <c r="G616" s="123">
        <v>10</v>
      </c>
      <c r="H616" s="412">
        <v>2201880</v>
      </c>
      <c r="I616" s="412"/>
      <c r="J616" s="261" t="s">
        <v>129</v>
      </c>
      <c r="K616" s="412" t="s">
        <v>445</v>
      </c>
      <c r="L616" s="412" t="s">
        <v>1182</v>
      </c>
      <c r="M616" s="412" t="s">
        <v>2541</v>
      </c>
      <c r="N616" s="120" t="s">
        <v>2827</v>
      </c>
      <c r="O616" s="684" t="s">
        <v>187</v>
      </c>
      <c r="P616" s="555" t="s">
        <v>122</v>
      </c>
      <c r="Q616" s="685" t="s">
        <v>2828</v>
      </c>
      <c r="R616" s="686" t="s">
        <v>2829</v>
      </c>
      <c r="S616" s="687" t="s">
        <v>125</v>
      </c>
      <c r="T616" s="688">
        <v>40618</v>
      </c>
      <c r="U616" s="689" t="s">
        <v>1684</v>
      </c>
      <c r="V616" s="690" t="s">
        <v>1685</v>
      </c>
      <c r="W616" s="686" t="s">
        <v>2566</v>
      </c>
      <c r="X616" s="655">
        <v>3553200</v>
      </c>
      <c r="Y616" s="325">
        <v>3553200</v>
      </c>
      <c r="Z616" s="667">
        <v>1</v>
      </c>
      <c r="AA616" s="667" t="s">
        <v>129</v>
      </c>
      <c r="AB616" s="656"/>
      <c r="AC616" s="582" t="s">
        <v>129</v>
      </c>
      <c r="AD616" s="120" t="s">
        <v>192</v>
      </c>
      <c r="AE616" s="582"/>
      <c r="AF616" s="582"/>
      <c r="AG616" s="120" t="s">
        <v>131</v>
      </c>
      <c r="AH616" s="120">
        <v>0</v>
      </c>
      <c r="AJ616" s="120"/>
      <c r="AK616" s="120" t="s">
        <v>147</v>
      </c>
      <c r="AL616" s="232" t="str">
        <f>VLOOKUP(AK616,'[3]17見直し計画'!$A$50:$AJ$584,6,0)</f>
        <v>　見直し計画策定以降の新規案件</v>
      </c>
      <c r="AM616" s="140">
        <f>VLOOKUP(AK616,'[3]17見直し計画'!$A$50:$AJ$584,8,0)</f>
        <v>0</v>
      </c>
      <c r="AN616" s="180"/>
      <c r="AO616" s="141">
        <f>VLOOKUP(AK616,'[3]17見直し計画'!$A$50:$AJ$584,11,0)</f>
        <v>0</v>
      </c>
      <c r="AP616" s="140">
        <f>VLOOKUP(AK616,'[3]17見直し計画'!$A$50:$AJ$584,12,0)</f>
        <v>0</v>
      </c>
      <c r="AQ616" s="140">
        <f>VLOOKUP(AK616,'[3]17見直し計画'!$A$50:$AJ$584,13,0)</f>
        <v>0</v>
      </c>
      <c r="AR616" s="140">
        <f>VLOOKUP(AK616,'[3]17見直し計画'!$A$50:$AJ$584,14,0)</f>
        <v>0</v>
      </c>
      <c r="AS616" s="140"/>
      <c r="AT616" s="140">
        <f>VLOOKUP(AK616,'[3]17見直し計画'!$A$50:$AJ$584,35,0)</f>
        <v>0</v>
      </c>
      <c r="AU616" s="140">
        <f>VLOOKUP(AK616,'[3]17見直し計画'!$A$50:$AJ$584,36,0)</f>
        <v>0</v>
      </c>
    </row>
    <row r="617" spans="1:47" ht="56.25" hidden="1">
      <c r="B617" s="110" t="s">
        <v>2757</v>
      </c>
      <c r="C617" s="110" t="s">
        <v>135</v>
      </c>
      <c r="D617" s="110" t="s">
        <v>136</v>
      </c>
      <c r="E617">
        <f t="shared" si="45"/>
        <v>531</v>
      </c>
      <c r="F617" s="123">
        <v>11</v>
      </c>
      <c r="G617" s="123">
        <v>11</v>
      </c>
      <c r="H617" s="412">
        <v>2201877</v>
      </c>
      <c r="I617" s="412"/>
      <c r="J617" s="261" t="s">
        <v>2830</v>
      </c>
      <c r="K617" s="412" t="s">
        <v>1397</v>
      </c>
      <c r="L617" s="412" t="s">
        <v>1190</v>
      </c>
      <c r="M617" s="412" t="s">
        <v>1448</v>
      </c>
      <c r="N617" s="120" t="s">
        <v>1003</v>
      </c>
      <c r="O617" s="684" t="s">
        <v>139</v>
      </c>
      <c r="P617" s="555" t="s">
        <v>122</v>
      </c>
      <c r="Q617" s="685" t="s">
        <v>2831</v>
      </c>
      <c r="R617" s="686" t="s">
        <v>2832</v>
      </c>
      <c r="S617" s="687" t="s">
        <v>125</v>
      </c>
      <c r="T617" s="688">
        <v>40628</v>
      </c>
      <c r="U617" s="689" t="s">
        <v>2833</v>
      </c>
      <c r="V617" s="690" t="s">
        <v>2834</v>
      </c>
      <c r="W617" s="686" t="s">
        <v>2835</v>
      </c>
      <c r="X617" s="655">
        <v>1050000</v>
      </c>
      <c r="Y617" s="325">
        <v>1050000</v>
      </c>
      <c r="Z617" s="667">
        <v>1</v>
      </c>
      <c r="AA617" s="667" t="s">
        <v>129</v>
      </c>
      <c r="AB617" s="656"/>
      <c r="AC617" s="582" t="s">
        <v>129</v>
      </c>
      <c r="AD617" s="120" t="s">
        <v>146</v>
      </c>
      <c r="AE617" s="582"/>
      <c r="AF617" s="582"/>
      <c r="AG617" s="120" t="s">
        <v>131</v>
      </c>
      <c r="AH617" s="120">
        <v>0</v>
      </c>
      <c r="AJ617" s="120"/>
      <c r="AK617" s="120" t="s">
        <v>147</v>
      </c>
      <c r="AL617" s="232" t="str">
        <f>VLOOKUP(AK617,'[3]17見直し計画'!$A$50:$AJ$584,6,0)</f>
        <v>　見直し計画策定以降の新規案件</v>
      </c>
      <c r="AM617" s="140">
        <f>VLOOKUP(AK617,'[3]17見直し計画'!$A$50:$AJ$584,8,0)</f>
        <v>0</v>
      </c>
      <c r="AN617" s="180"/>
      <c r="AO617" s="141">
        <f>VLOOKUP(AK617,'[3]17見直し計画'!$A$50:$AJ$584,11,0)</f>
        <v>0</v>
      </c>
      <c r="AP617" s="140">
        <f>VLOOKUP(AK617,'[3]17見直し計画'!$A$50:$AJ$584,12,0)</f>
        <v>0</v>
      </c>
      <c r="AQ617" s="140">
        <f>VLOOKUP(AK617,'[3]17見直し計画'!$A$50:$AJ$584,13,0)</f>
        <v>0</v>
      </c>
      <c r="AR617" s="140">
        <f>VLOOKUP(AK617,'[3]17見直し計画'!$A$50:$AJ$584,14,0)</f>
        <v>0</v>
      </c>
      <c r="AS617" s="140"/>
      <c r="AT617" s="140">
        <f>VLOOKUP(AK617,'[3]17見直し計画'!$A$50:$AJ$584,35,0)</f>
        <v>0</v>
      </c>
      <c r="AU617" s="140">
        <f>VLOOKUP(AK617,'[3]17見直し計画'!$A$50:$AJ$584,36,0)</f>
        <v>0</v>
      </c>
    </row>
    <row r="618" spans="1:47" ht="52.5" hidden="1">
      <c r="A618" t="s">
        <v>2836</v>
      </c>
      <c r="B618" s="712" t="s">
        <v>2837</v>
      </c>
      <c r="C618" s="143" t="s">
        <v>255</v>
      </c>
      <c r="D618" s="143" t="s">
        <v>2838</v>
      </c>
      <c r="E618">
        <f t="shared" ref="E618:E631" si="47">SUM(E617+1)</f>
        <v>532</v>
      </c>
      <c r="F618" s="123">
        <v>12</v>
      </c>
      <c r="G618" s="123">
        <v>12</v>
      </c>
      <c r="H618" s="412" t="s">
        <v>129</v>
      </c>
      <c r="I618" s="412"/>
      <c r="J618" s="261" t="s">
        <v>2839</v>
      </c>
      <c r="K618" s="412" t="s">
        <v>2776</v>
      </c>
      <c r="L618" s="412" t="s">
        <v>2777</v>
      </c>
      <c r="M618" s="412" t="s">
        <v>1596</v>
      </c>
      <c r="N618" s="713" t="s">
        <v>2840</v>
      </c>
      <c r="O618" s="684" t="s">
        <v>139</v>
      </c>
      <c r="P618" s="555" t="s">
        <v>122</v>
      </c>
      <c r="Q618" s="685" t="s">
        <v>2841</v>
      </c>
      <c r="R618" s="686" t="s">
        <v>2842</v>
      </c>
      <c r="S618" s="687" t="s">
        <v>125</v>
      </c>
      <c r="T618" s="688" t="s">
        <v>129</v>
      </c>
      <c r="U618" s="689" t="s">
        <v>2843</v>
      </c>
      <c r="V618" s="690" t="s">
        <v>2844</v>
      </c>
      <c r="W618" s="686" t="s">
        <v>2845</v>
      </c>
      <c r="X618" s="655" t="s">
        <v>129</v>
      </c>
      <c r="Y618" s="714">
        <v>9411037</v>
      </c>
      <c r="Z618" s="667" t="s">
        <v>129</v>
      </c>
      <c r="AA618" s="667" t="s">
        <v>129</v>
      </c>
      <c r="AB618" s="656"/>
      <c r="AC618" s="582" t="s">
        <v>129</v>
      </c>
      <c r="AD618" s="120" t="s">
        <v>146</v>
      </c>
      <c r="AE618" s="582"/>
      <c r="AF618" s="582"/>
      <c r="AG618" s="120" t="s">
        <v>131</v>
      </c>
      <c r="AH618" s="120">
        <v>0</v>
      </c>
      <c r="AJ618" s="120"/>
      <c r="AK618" s="120" t="s">
        <v>147</v>
      </c>
      <c r="AL618" s="232" t="str">
        <f>VLOOKUP(AK618,'[3]17見直し計画'!$A$50:$AJ$584,6,0)</f>
        <v>　見直し計画策定以降の新規案件</v>
      </c>
      <c r="AM618" s="140">
        <f>VLOOKUP(AK618,'[3]17見直し計画'!$A$50:$AJ$584,8,0)</f>
        <v>0</v>
      </c>
      <c r="AN618" s="180"/>
      <c r="AO618" s="141">
        <f>VLOOKUP(AK618,'[3]17見直し計画'!$A$50:$AJ$584,11,0)</f>
        <v>0</v>
      </c>
      <c r="AP618" s="140">
        <f>VLOOKUP(AK618,'[3]17見直し計画'!$A$50:$AJ$584,12,0)</f>
        <v>0</v>
      </c>
      <c r="AQ618" s="140">
        <f>VLOOKUP(AK618,'[3]17見直し計画'!$A$50:$AJ$584,13,0)</f>
        <v>0</v>
      </c>
      <c r="AR618" s="140">
        <f>VLOOKUP(AK618,'[3]17見直し計画'!$A$50:$AJ$584,14,0)</f>
        <v>0</v>
      </c>
      <c r="AS618" s="140"/>
      <c r="AT618" s="140">
        <f>VLOOKUP(AK618,'[3]17見直し計画'!$A$50:$AJ$584,35,0)</f>
        <v>0</v>
      </c>
      <c r="AU618" s="140">
        <f>VLOOKUP(AK618,'[3]17見直し計画'!$A$50:$AJ$584,36,0)</f>
        <v>0</v>
      </c>
    </row>
    <row r="619" spans="1:47" ht="52.5" hidden="1">
      <c r="A619" t="s">
        <v>2836</v>
      </c>
      <c r="B619" s="712" t="s">
        <v>2837</v>
      </c>
      <c r="C619" s="143" t="s">
        <v>255</v>
      </c>
      <c r="D619" s="143" t="s">
        <v>2838</v>
      </c>
      <c r="E619">
        <f t="shared" si="47"/>
        <v>533</v>
      </c>
      <c r="F619" s="123">
        <v>13</v>
      </c>
      <c r="G619" s="123">
        <v>13</v>
      </c>
      <c r="H619" s="412" t="s">
        <v>129</v>
      </c>
      <c r="I619" s="412"/>
      <c r="J619" s="261" t="s">
        <v>2846</v>
      </c>
      <c r="K619" s="412" t="s">
        <v>2776</v>
      </c>
      <c r="L619" s="412" t="s">
        <v>2777</v>
      </c>
      <c r="M619" s="412" t="s">
        <v>1596</v>
      </c>
      <c r="N619" s="713" t="s">
        <v>2840</v>
      </c>
      <c r="O619" s="684" t="s">
        <v>139</v>
      </c>
      <c r="P619" s="555" t="s">
        <v>122</v>
      </c>
      <c r="Q619" s="685" t="s">
        <v>2847</v>
      </c>
      <c r="R619" s="686" t="s">
        <v>2848</v>
      </c>
      <c r="S619" s="687" t="s">
        <v>125</v>
      </c>
      <c r="T619" s="688" t="s">
        <v>129</v>
      </c>
      <c r="U619" s="689" t="s">
        <v>2849</v>
      </c>
      <c r="V619" s="690" t="s">
        <v>2850</v>
      </c>
      <c r="W619" s="686" t="s">
        <v>2845</v>
      </c>
      <c r="X619" s="655" t="s">
        <v>129</v>
      </c>
      <c r="Y619" s="714">
        <v>52570353</v>
      </c>
      <c r="Z619" s="667" t="s">
        <v>129</v>
      </c>
      <c r="AA619" s="667" t="s">
        <v>129</v>
      </c>
      <c r="AB619" s="656"/>
      <c r="AC619" s="582" t="s">
        <v>129</v>
      </c>
      <c r="AD619" s="120" t="s">
        <v>146</v>
      </c>
      <c r="AE619" s="582"/>
      <c r="AF619" s="582"/>
      <c r="AG619" s="120" t="s">
        <v>131</v>
      </c>
      <c r="AH619" s="120">
        <v>0</v>
      </c>
      <c r="AJ619" s="120"/>
      <c r="AK619" s="120" t="s">
        <v>147</v>
      </c>
      <c r="AL619" s="232" t="str">
        <f>VLOOKUP(AK619,'[3]17見直し計画'!$A$50:$AJ$584,6,0)</f>
        <v>　見直し計画策定以降の新規案件</v>
      </c>
      <c r="AM619" s="140">
        <f>VLOOKUP(AK619,'[3]17見直し計画'!$A$50:$AJ$584,8,0)</f>
        <v>0</v>
      </c>
      <c r="AN619" s="180"/>
      <c r="AO619" s="141">
        <f>VLOOKUP(AK619,'[3]17見直し計画'!$A$50:$AJ$584,11,0)</f>
        <v>0</v>
      </c>
      <c r="AP619" s="140">
        <f>VLOOKUP(AK619,'[3]17見直し計画'!$A$50:$AJ$584,12,0)</f>
        <v>0</v>
      </c>
      <c r="AQ619" s="140">
        <f>VLOOKUP(AK619,'[3]17見直し計画'!$A$50:$AJ$584,13,0)</f>
        <v>0</v>
      </c>
      <c r="AR619" s="140">
        <f>VLOOKUP(AK619,'[3]17見直し計画'!$A$50:$AJ$584,14,0)</f>
        <v>0</v>
      </c>
      <c r="AS619" s="140"/>
      <c r="AT619" s="140">
        <f>VLOOKUP(AK619,'[3]17見直し計画'!$A$50:$AJ$584,35,0)</f>
        <v>0</v>
      </c>
      <c r="AU619" s="140">
        <f>VLOOKUP(AK619,'[3]17見直し計画'!$A$50:$AJ$584,36,0)</f>
        <v>0</v>
      </c>
    </row>
    <row r="620" spans="1:47" ht="52.5" hidden="1">
      <c r="A620" t="s">
        <v>2836</v>
      </c>
      <c r="B620" s="712" t="s">
        <v>2837</v>
      </c>
      <c r="C620" s="143" t="s">
        <v>255</v>
      </c>
      <c r="D620" s="143" t="s">
        <v>2838</v>
      </c>
      <c r="E620">
        <f t="shared" si="47"/>
        <v>534</v>
      </c>
      <c r="F620" s="123">
        <v>14</v>
      </c>
      <c r="G620" s="123">
        <v>14</v>
      </c>
      <c r="H620" s="412" t="s">
        <v>129</v>
      </c>
      <c r="I620" s="412"/>
      <c r="J620" s="261" t="s">
        <v>2851</v>
      </c>
      <c r="K620" s="412" t="s">
        <v>2776</v>
      </c>
      <c r="L620" s="412" t="s">
        <v>2777</v>
      </c>
      <c r="M620" s="412" t="s">
        <v>1596</v>
      </c>
      <c r="N620" s="713" t="s">
        <v>2840</v>
      </c>
      <c r="O620" s="684" t="s">
        <v>139</v>
      </c>
      <c r="P620" s="555" t="s">
        <v>122</v>
      </c>
      <c r="Q620" s="685" t="s">
        <v>2852</v>
      </c>
      <c r="R620" s="686" t="s">
        <v>2853</v>
      </c>
      <c r="S620" s="687" t="s">
        <v>125</v>
      </c>
      <c r="T620" s="688" t="s">
        <v>129</v>
      </c>
      <c r="U620" s="689" t="s">
        <v>2854</v>
      </c>
      <c r="V620" s="690" t="s">
        <v>2855</v>
      </c>
      <c r="W620" s="686" t="s">
        <v>2845</v>
      </c>
      <c r="X620" s="655" t="s">
        <v>129</v>
      </c>
      <c r="Y620" s="714">
        <v>3687621</v>
      </c>
      <c r="Z620" s="667" t="s">
        <v>129</v>
      </c>
      <c r="AA620" s="667" t="s">
        <v>129</v>
      </c>
      <c r="AB620" s="656"/>
      <c r="AC620" s="582" t="s">
        <v>129</v>
      </c>
      <c r="AD620" s="120" t="s">
        <v>146</v>
      </c>
      <c r="AE620" s="582"/>
      <c r="AF620" s="582"/>
      <c r="AG620" s="120" t="s">
        <v>131</v>
      </c>
      <c r="AH620" s="120">
        <v>0</v>
      </c>
      <c r="AJ620" s="120"/>
      <c r="AK620" s="120" t="s">
        <v>147</v>
      </c>
      <c r="AL620" s="232" t="str">
        <f>VLOOKUP(AK620,'[3]17見直し計画'!$A$50:$AJ$584,6,0)</f>
        <v>　見直し計画策定以降の新規案件</v>
      </c>
      <c r="AM620" s="140">
        <f>VLOOKUP(AK620,'[3]17見直し計画'!$A$50:$AJ$584,8,0)</f>
        <v>0</v>
      </c>
      <c r="AN620" s="180"/>
      <c r="AO620" s="141">
        <f>VLOOKUP(AK620,'[3]17見直し計画'!$A$50:$AJ$584,11,0)</f>
        <v>0</v>
      </c>
      <c r="AP620" s="140">
        <f>VLOOKUP(AK620,'[3]17見直し計画'!$A$50:$AJ$584,12,0)</f>
        <v>0</v>
      </c>
      <c r="AQ620" s="140">
        <f>VLOOKUP(AK620,'[3]17見直し計画'!$A$50:$AJ$584,13,0)</f>
        <v>0</v>
      </c>
      <c r="AR620" s="140">
        <f>VLOOKUP(AK620,'[3]17見直し計画'!$A$50:$AJ$584,14,0)</f>
        <v>0</v>
      </c>
      <c r="AS620" s="140"/>
      <c r="AT620" s="140">
        <f>VLOOKUP(AK620,'[3]17見直し計画'!$A$50:$AJ$584,35,0)</f>
        <v>0</v>
      </c>
      <c r="AU620" s="140">
        <f>VLOOKUP(AK620,'[3]17見直し計画'!$A$50:$AJ$584,36,0)</f>
        <v>0</v>
      </c>
    </row>
    <row r="621" spans="1:47" ht="78.75" hidden="1">
      <c r="A621" t="s">
        <v>2836</v>
      </c>
      <c r="B621" s="712" t="s">
        <v>2837</v>
      </c>
      <c r="C621" s="143" t="s">
        <v>255</v>
      </c>
      <c r="D621" s="143" t="s">
        <v>2838</v>
      </c>
      <c r="E621">
        <f t="shared" si="47"/>
        <v>535</v>
      </c>
      <c r="F621" s="123">
        <v>15</v>
      </c>
      <c r="G621" s="123">
        <v>15</v>
      </c>
      <c r="H621" s="412" t="s">
        <v>129</v>
      </c>
      <c r="I621" s="412"/>
      <c r="J621" s="261" t="s">
        <v>2856</v>
      </c>
      <c r="K621" s="412" t="s">
        <v>2776</v>
      </c>
      <c r="L621" s="412" t="s">
        <v>2857</v>
      </c>
      <c r="M621" s="412" t="s">
        <v>129</v>
      </c>
      <c r="N621" s="713" t="s">
        <v>2840</v>
      </c>
      <c r="O621" s="684" t="s">
        <v>139</v>
      </c>
      <c r="P621" s="555" t="s">
        <v>122</v>
      </c>
      <c r="Q621" s="685" t="s">
        <v>2858</v>
      </c>
      <c r="R621" s="686" t="s">
        <v>2859</v>
      </c>
      <c r="S621" s="687" t="s">
        <v>125</v>
      </c>
      <c r="T621" s="688" t="s">
        <v>129</v>
      </c>
      <c r="U621" s="689" t="s">
        <v>2860</v>
      </c>
      <c r="V621" s="690" t="s">
        <v>2861</v>
      </c>
      <c r="W621" s="686" t="s">
        <v>2862</v>
      </c>
      <c r="X621" s="655" t="s">
        <v>129</v>
      </c>
      <c r="Y621" s="714">
        <v>6448260</v>
      </c>
      <c r="Z621" s="667" t="s">
        <v>129</v>
      </c>
      <c r="AA621" s="667" t="s">
        <v>129</v>
      </c>
      <c r="AB621" s="656"/>
      <c r="AC621" s="582" t="s">
        <v>129</v>
      </c>
      <c r="AD621" s="120" t="s">
        <v>146</v>
      </c>
      <c r="AE621" s="582"/>
      <c r="AF621" s="582"/>
      <c r="AG621" s="120" t="s">
        <v>131</v>
      </c>
      <c r="AH621" s="120">
        <v>0</v>
      </c>
      <c r="AJ621" s="120"/>
      <c r="AK621" s="120" t="s">
        <v>147</v>
      </c>
      <c r="AL621" s="232" t="str">
        <f>VLOOKUP(AK621,'[3]17見直し計画'!$A$50:$AJ$584,6,0)</f>
        <v>　見直し計画策定以降の新規案件</v>
      </c>
      <c r="AM621" s="140">
        <f>VLOOKUP(AK621,'[3]17見直し計画'!$A$50:$AJ$584,8,0)</f>
        <v>0</v>
      </c>
      <c r="AN621" s="180"/>
      <c r="AO621" s="141">
        <f>VLOOKUP(AK621,'[3]17見直し計画'!$A$50:$AJ$584,11,0)</f>
        <v>0</v>
      </c>
      <c r="AP621" s="140">
        <f>VLOOKUP(AK621,'[3]17見直し計画'!$A$50:$AJ$584,12,0)</f>
        <v>0</v>
      </c>
      <c r="AQ621" s="140">
        <f>VLOOKUP(AK621,'[3]17見直し計画'!$A$50:$AJ$584,13,0)</f>
        <v>0</v>
      </c>
      <c r="AR621" s="140">
        <f>VLOOKUP(AK621,'[3]17見直し計画'!$A$50:$AJ$584,14,0)</f>
        <v>0</v>
      </c>
      <c r="AS621" s="140"/>
      <c r="AT621" s="140">
        <f>VLOOKUP(AK621,'[3]17見直し計画'!$A$50:$AJ$584,35,0)</f>
        <v>0</v>
      </c>
      <c r="AU621" s="140">
        <f>VLOOKUP(AK621,'[3]17見直し計画'!$A$50:$AJ$584,36,0)</f>
        <v>0</v>
      </c>
    </row>
    <row r="622" spans="1:47" ht="52.5" hidden="1">
      <c r="A622" t="s">
        <v>2836</v>
      </c>
      <c r="B622" s="712" t="s">
        <v>2837</v>
      </c>
      <c r="C622" s="143" t="s">
        <v>255</v>
      </c>
      <c r="D622" s="143" t="s">
        <v>2838</v>
      </c>
      <c r="E622">
        <f t="shared" si="47"/>
        <v>536</v>
      </c>
      <c r="F622" s="123">
        <v>16</v>
      </c>
      <c r="G622" s="123">
        <v>16</v>
      </c>
      <c r="H622" s="412" t="s">
        <v>129</v>
      </c>
      <c r="I622" s="412"/>
      <c r="J622" s="261" t="s">
        <v>2863</v>
      </c>
      <c r="K622" s="412" t="s">
        <v>2776</v>
      </c>
      <c r="L622" s="412" t="s">
        <v>2857</v>
      </c>
      <c r="M622" s="412" t="s">
        <v>129</v>
      </c>
      <c r="N622" s="713" t="s">
        <v>2840</v>
      </c>
      <c r="O622" s="684" t="s">
        <v>139</v>
      </c>
      <c r="P622" s="555" t="s">
        <v>122</v>
      </c>
      <c r="Q622" s="685" t="s">
        <v>2864</v>
      </c>
      <c r="R622" s="686" t="s">
        <v>2865</v>
      </c>
      <c r="S622" s="687" t="s">
        <v>125</v>
      </c>
      <c r="T622" s="688" t="s">
        <v>129</v>
      </c>
      <c r="U622" s="689" t="s">
        <v>2866</v>
      </c>
      <c r="V622" s="690" t="s">
        <v>2867</v>
      </c>
      <c r="W622" s="686" t="s">
        <v>2845</v>
      </c>
      <c r="X622" s="655" t="s">
        <v>129</v>
      </c>
      <c r="Y622" s="714">
        <v>34750665</v>
      </c>
      <c r="Z622" s="667" t="s">
        <v>129</v>
      </c>
      <c r="AA622" s="667" t="s">
        <v>129</v>
      </c>
      <c r="AB622" s="656"/>
      <c r="AC622" s="582" t="s">
        <v>129</v>
      </c>
      <c r="AD622" s="120" t="s">
        <v>146</v>
      </c>
      <c r="AE622" s="582"/>
      <c r="AF622" s="582"/>
      <c r="AG622" s="120" t="s">
        <v>131</v>
      </c>
      <c r="AH622" s="120">
        <v>0</v>
      </c>
      <c r="AJ622" s="120"/>
      <c r="AK622" s="120" t="s">
        <v>147</v>
      </c>
      <c r="AL622" s="232" t="str">
        <f>VLOOKUP(AK622,'[3]17見直し計画'!$A$50:$AJ$584,6,0)</f>
        <v>　見直し計画策定以降の新規案件</v>
      </c>
      <c r="AM622" s="140">
        <f>VLOOKUP(AK622,'[3]17見直し計画'!$A$50:$AJ$584,8,0)</f>
        <v>0</v>
      </c>
      <c r="AN622" s="180"/>
      <c r="AO622" s="141">
        <f>VLOOKUP(AK622,'[3]17見直し計画'!$A$50:$AJ$584,11,0)</f>
        <v>0</v>
      </c>
      <c r="AP622" s="140">
        <f>VLOOKUP(AK622,'[3]17見直し計画'!$A$50:$AJ$584,12,0)</f>
        <v>0</v>
      </c>
      <c r="AQ622" s="140">
        <f>VLOOKUP(AK622,'[3]17見直し計画'!$A$50:$AJ$584,13,0)</f>
        <v>0</v>
      </c>
      <c r="AR622" s="140">
        <f>VLOOKUP(AK622,'[3]17見直し計画'!$A$50:$AJ$584,14,0)</f>
        <v>0</v>
      </c>
      <c r="AS622" s="140"/>
      <c r="AT622" s="140">
        <f>VLOOKUP(AK622,'[3]17見直し計画'!$A$50:$AJ$584,35,0)</f>
        <v>0</v>
      </c>
      <c r="AU622" s="140">
        <f>VLOOKUP(AK622,'[3]17見直し計画'!$A$50:$AJ$584,36,0)</f>
        <v>0</v>
      </c>
    </row>
    <row r="623" spans="1:47" ht="52.5" hidden="1">
      <c r="A623" t="s">
        <v>2836</v>
      </c>
      <c r="B623" s="712" t="s">
        <v>2837</v>
      </c>
      <c r="C623" s="143" t="s">
        <v>255</v>
      </c>
      <c r="D623" s="143" t="s">
        <v>2838</v>
      </c>
      <c r="E623">
        <f t="shared" si="47"/>
        <v>537</v>
      </c>
      <c r="F623" s="123">
        <v>17</v>
      </c>
      <c r="G623" s="123">
        <v>17</v>
      </c>
      <c r="H623" s="412" t="s">
        <v>129</v>
      </c>
      <c r="I623" s="412"/>
      <c r="J623" s="261" t="s">
        <v>2868</v>
      </c>
      <c r="K623" s="412" t="s">
        <v>2776</v>
      </c>
      <c r="L623" s="412" t="s">
        <v>2869</v>
      </c>
      <c r="M623" s="412" t="s">
        <v>129</v>
      </c>
      <c r="N623" s="713" t="s">
        <v>2840</v>
      </c>
      <c r="O623" s="684" t="s">
        <v>139</v>
      </c>
      <c r="P623" s="555" t="s">
        <v>122</v>
      </c>
      <c r="Q623" s="685" t="s">
        <v>2870</v>
      </c>
      <c r="R623" s="686" t="s">
        <v>2865</v>
      </c>
      <c r="S623" s="687" t="s">
        <v>125</v>
      </c>
      <c r="T623" s="688" t="s">
        <v>129</v>
      </c>
      <c r="U623" s="689" t="s">
        <v>2871</v>
      </c>
      <c r="V623" s="690" t="s">
        <v>2872</v>
      </c>
      <c r="W623" s="686" t="s">
        <v>2845</v>
      </c>
      <c r="X623" s="655" t="s">
        <v>129</v>
      </c>
      <c r="Y623" s="714">
        <v>1137640</v>
      </c>
      <c r="Z623" s="667" t="s">
        <v>129</v>
      </c>
      <c r="AA623" s="667" t="s">
        <v>129</v>
      </c>
      <c r="AB623" s="656"/>
      <c r="AC623" s="582" t="s">
        <v>129</v>
      </c>
      <c r="AD623" s="120" t="s">
        <v>146</v>
      </c>
      <c r="AE623" s="582"/>
      <c r="AF623" s="582"/>
      <c r="AG623" s="120" t="s">
        <v>131</v>
      </c>
      <c r="AH623" s="120">
        <v>0</v>
      </c>
      <c r="AJ623" s="120"/>
      <c r="AK623" s="120" t="s">
        <v>147</v>
      </c>
      <c r="AL623" s="232" t="str">
        <f>VLOOKUP(AK623,'[3]17見直し計画'!$A$50:$AJ$584,6,0)</f>
        <v>　見直し計画策定以降の新規案件</v>
      </c>
      <c r="AM623" s="140">
        <f>VLOOKUP(AK623,'[3]17見直し計画'!$A$50:$AJ$584,8,0)</f>
        <v>0</v>
      </c>
      <c r="AN623" s="180"/>
      <c r="AO623" s="141">
        <f>VLOOKUP(AK623,'[3]17見直し計画'!$A$50:$AJ$584,11,0)</f>
        <v>0</v>
      </c>
      <c r="AP623" s="140">
        <f>VLOOKUP(AK623,'[3]17見直し計画'!$A$50:$AJ$584,12,0)</f>
        <v>0</v>
      </c>
      <c r="AQ623" s="140">
        <f>VLOOKUP(AK623,'[3]17見直し計画'!$A$50:$AJ$584,13,0)</f>
        <v>0</v>
      </c>
      <c r="AR623" s="140">
        <f>VLOOKUP(AK623,'[3]17見直し計画'!$A$50:$AJ$584,14,0)</f>
        <v>0</v>
      </c>
      <c r="AS623" s="140"/>
      <c r="AT623" s="140">
        <f>VLOOKUP(AK623,'[3]17見直し計画'!$A$50:$AJ$584,35,0)</f>
        <v>0</v>
      </c>
      <c r="AU623" s="140">
        <f>VLOOKUP(AK623,'[3]17見直し計画'!$A$50:$AJ$584,36,0)</f>
        <v>0</v>
      </c>
    </row>
    <row r="624" spans="1:47" ht="52.5" hidden="1">
      <c r="A624" t="s">
        <v>2836</v>
      </c>
      <c r="B624" s="712" t="s">
        <v>2873</v>
      </c>
      <c r="C624" s="143" t="s">
        <v>255</v>
      </c>
      <c r="D624" s="143" t="s">
        <v>2838</v>
      </c>
      <c r="E624">
        <f t="shared" si="47"/>
        <v>538</v>
      </c>
      <c r="F624" s="123">
        <v>18</v>
      </c>
      <c r="G624" s="123">
        <v>18</v>
      </c>
      <c r="H624" s="412" t="s">
        <v>129</v>
      </c>
      <c r="I624" s="412"/>
      <c r="J624" s="261" t="s">
        <v>2874</v>
      </c>
      <c r="K624" s="412" t="s">
        <v>2776</v>
      </c>
      <c r="L624" s="412" t="s">
        <v>2777</v>
      </c>
      <c r="M624" s="412" t="s">
        <v>1596</v>
      </c>
      <c r="N624" s="713" t="s">
        <v>2875</v>
      </c>
      <c r="O624" s="684" t="s">
        <v>355</v>
      </c>
      <c r="P624" s="555" t="s">
        <v>122</v>
      </c>
      <c r="Q624" s="685" t="s">
        <v>2876</v>
      </c>
      <c r="R624" s="686" t="s">
        <v>2877</v>
      </c>
      <c r="S624" s="687" t="s">
        <v>125</v>
      </c>
      <c r="T624" s="688" t="s">
        <v>129</v>
      </c>
      <c r="U624" s="689" t="s">
        <v>2878</v>
      </c>
      <c r="V624" s="690" t="s">
        <v>2879</v>
      </c>
      <c r="W624" s="686" t="s">
        <v>2845</v>
      </c>
      <c r="X624" s="655" t="s">
        <v>129</v>
      </c>
      <c r="Y624" s="714">
        <v>33585444</v>
      </c>
      <c r="Z624" s="667" t="s">
        <v>129</v>
      </c>
      <c r="AA624" s="667" t="s">
        <v>129</v>
      </c>
      <c r="AB624" s="656"/>
      <c r="AC624" s="582" t="s">
        <v>129</v>
      </c>
      <c r="AD624" s="120" t="s">
        <v>361</v>
      </c>
      <c r="AE624" s="582"/>
      <c r="AF624" s="582"/>
      <c r="AG624" s="120" t="s">
        <v>131</v>
      </c>
      <c r="AH624" s="120">
        <v>0</v>
      </c>
      <c r="AJ624" s="120"/>
      <c r="AK624" s="120" t="s">
        <v>147</v>
      </c>
      <c r="AL624" s="232" t="str">
        <f>VLOOKUP(AK624,'[3]17見直し計画'!$A$50:$AJ$584,6,0)</f>
        <v>　見直し計画策定以降の新規案件</v>
      </c>
      <c r="AM624" s="140">
        <f>VLOOKUP(AK624,'[3]17見直し計画'!$A$50:$AJ$584,8,0)</f>
        <v>0</v>
      </c>
      <c r="AN624" s="180"/>
      <c r="AO624" s="141">
        <f>VLOOKUP(AK624,'[3]17見直し計画'!$A$50:$AJ$584,11,0)</f>
        <v>0</v>
      </c>
      <c r="AP624" s="140">
        <f>VLOOKUP(AK624,'[3]17見直し計画'!$A$50:$AJ$584,12,0)</f>
        <v>0</v>
      </c>
      <c r="AQ624" s="140">
        <f>VLOOKUP(AK624,'[3]17見直し計画'!$A$50:$AJ$584,13,0)</f>
        <v>0</v>
      </c>
      <c r="AR624" s="140">
        <f>VLOOKUP(AK624,'[3]17見直し計画'!$A$50:$AJ$584,14,0)</f>
        <v>0</v>
      </c>
      <c r="AS624" s="140"/>
      <c r="AT624" s="140">
        <f>VLOOKUP(AK624,'[3]17見直し計画'!$A$50:$AJ$584,35,0)</f>
        <v>0</v>
      </c>
      <c r="AU624" s="140">
        <f>VLOOKUP(AK624,'[3]17見直し計画'!$A$50:$AJ$584,36,0)</f>
        <v>0</v>
      </c>
    </row>
    <row r="625" spans="1:47" ht="52.5" hidden="1">
      <c r="A625" t="s">
        <v>2836</v>
      </c>
      <c r="B625" s="712" t="s">
        <v>2837</v>
      </c>
      <c r="C625" s="143" t="s">
        <v>255</v>
      </c>
      <c r="D625" s="143" t="s">
        <v>2838</v>
      </c>
      <c r="E625">
        <f t="shared" si="47"/>
        <v>539</v>
      </c>
      <c r="F625" s="123">
        <v>19</v>
      </c>
      <c r="G625" s="123">
        <v>19</v>
      </c>
      <c r="H625" s="412" t="s">
        <v>129</v>
      </c>
      <c r="I625" s="412"/>
      <c r="J625" s="261" t="s">
        <v>2880</v>
      </c>
      <c r="K625" s="412" t="s">
        <v>2776</v>
      </c>
      <c r="L625" s="412" t="s">
        <v>2777</v>
      </c>
      <c r="M625" s="412" t="s">
        <v>1596</v>
      </c>
      <c r="N625" s="713" t="s">
        <v>2840</v>
      </c>
      <c r="O625" s="684" t="s">
        <v>139</v>
      </c>
      <c r="P625" s="555" t="s">
        <v>122</v>
      </c>
      <c r="Q625" s="685" t="s">
        <v>2881</v>
      </c>
      <c r="R625" s="686" t="s">
        <v>2877</v>
      </c>
      <c r="S625" s="687" t="s">
        <v>125</v>
      </c>
      <c r="T625" s="688" t="s">
        <v>129</v>
      </c>
      <c r="U625" s="689" t="s">
        <v>2882</v>
      </c>
      <c r="V625" s="690" t="s">
        <v>656</v>
      </c>
      <c r="W625" s="686" t="s">
        <v>2845</v>
      </c>
      <c r="X625" s="655" t="s">
        <v>129</v>
      </c>
      <c r="Y625" s="714">
        <v>30884449</v>
      </c>
      <c r="Z625" s="667" t="s">
        <v>129</v>
      </c>
      <c r="AA625" s="667" t="s">
        <v>129</v>
      </c>
      <c r="AB625" s="656"/>
      <c r="AC625" s="582" t="s">
        <v>129</v>
      </c>
      <c r="AD625" s="120" t="s">
        <v>146</v>
      </c>
      <c r="AE625" s="582"/>
      <c r="AF625" s="582"/>
      <c r="AG625" s="120" t="s">
        <v>131</v>
      </c>
      <c r="AH625" s="120">
        <v>0</v>
      </c>
      <c r="AJ625" s="120"/>
      <c r="AK625" s="120" t="s">
        <v>147</v>
      </c>
      <c r="AL625" s="232" t="str">
        <f>VLOOKUP(AK625,'[3]17見直し計画'!$A$50:$AJ$584,6,0)</f>
        <v>　見直し計画策定以降の新規案件</v>
      </c>
      <c r="AM625" s="140">
        <f>VLOOKUP(AK625,'[3]17見直し計画'!$A$50:$AJ$584,8,0)</f>
        <v>0</v>
      </c>
      <c r="AN625" s="180"/>
      <c r="AO625" s="141">
        <f>VLOOKUP(AK625,'[3]17見直し計画'!$A$50:$AJ$584,11,0)</f>
        <v>0</v>
      </c>
      <c r="AP625" s="140">
        <f>VLOOKUP(AK625,'[3]17見直し計画'!$A$50:$AJ$584,12,0)</f>
        <v>0</v>
      </c>
      <c r="AQ625" s="140">
        <f>VLOOKUP(AK625,'[3]17見直し計画'!$A$50:$AJ$584,13,0)</f>
        <v>0</v>
      </c>
      <c r="AR625" s="140">
        <f>VLOOKUP(AK625,'[3]17見直し計画'!$A$50:$AJ$584,14,0)</f>
        <v>0</v>
      </c>
      <c r="AS625" s="140"/>
      <c r="AT625" s="140">
        <f>VLOOKUP(AK625,'[3]17見直し計画'!$A$50:$AJ$584,35,0)</f>
        <v>0</v>
      </c>
      <c r="AU625" s="140">
        <f>VLOOKUP(AK625,'[3]17見直し計画'!$A$50:$AJ$584,36,0)</f>
        <v>0</v>
      </c>
    </row>
    <row r="626" spans="1:47" ht="52.5" hidden="1">
      <c r="A626" t="s">
        <v>2836</v>
      </c>
      <c r="B626" s="712" t="s">
        <v>2837</v>
      </c>
      <c r="C626" s="143" t="s">
        <v>255</v>
      </c>
      <c r="D626" s="143" t="s">
        <v>2838</v>
      </c>
      <c r="E626">
        <f t="shared" si="47"/>
        <v>540</v>
      </c>
      <c r="F626" s="123">
        <v>20</v>
      </c>
      <c r="G626" s="123">
        <v>20</v>
      </c>
      <c r="H626" s="412" t="s">
        <v>129</v>
      </c>
      <c r="I626" s="412"/>
      <c r="J626" s="261" t="s">
        <v>2883</v>
      </c>
      <c r="K626" s="412" t="s">
        <v>2776</v>
      </c>
      <c r="L626" s="412" t="s">
        <v>2777</v>
      </c>
      <c r="M626" s="412" t="s">
        <v>1596</v>
      </c>
      <c r="N626" s="713" t="s">
        <v>2840</v>
      </c>
      <c r="O626" s="684" t="s">
        <v>139</v>
      </c>
      <c r="P626" s="555" t="s">
        <v>122</v>
      </c>
      <c r="Q626" s="685" t="s">
        <v>2884</v>
      </c>
      <c r="R626" s="686" t="s">
        <v>2877</v>
      </c>
      <c r="S626" s="687" t="s">
        <v>125</v>
      </c>
      <c r="T626" s="688" t="s">
        <v>129</v>
      </c>
      <c r="U626" s="689" t="s">
        <v>1892</v>
      </c>
      <c r="V626" s="690" t="s">
        <v>1769</v>
      </c>
      <c r="W626" s="686" t="s">
        <v>2845</v>
      </c>
      <c r="X626" s="655" t="s">
        <v>129</v>
      </c>
      <c r="Y626" s="714">
        <v>2876806</v>
      </c>
      <c r="Z626" s="667" t="s">
        <v>129</v>
      </c>
      <c r="AA626" s="667" t="s">
        <v>129</v>
      </c>
      <c r="AB626" s="656"/>
      <c r="AC626" s="582" t="s">
        <v>129</v>
      </c>
      <c r="AD626" s="120" t="s">
        <v>146</v>
      </c>
      <c r="AE626" s="582"/>
      <c r="AF626" s="582"/>
      <c r="AG626" s="120" t="s">
        <v>131</v>
      </c>
      <c r="AH626" s="120">
        <v>0</v>
      </c>
      <c r="AJ626" s="120"/>
      <c r="AK626" s="120" t="s">
        <v>147</v>
      </c>
      <c r="AL626" s="232" t="str">
        <f>VLOOKUP(AK626,'[3]17見直し計画'!$A$50:$AJ$584,6,0)</f>
        <v>　見直し計画策定以降の新規案件</v>
      </c>
      <c r="AM626" s="140">
        <f>VLOOKUP(AK626,'[3]17見直し計画'!$A$50:$AJ$584,8,0)</f>
        <v>0</v>
      </c>
      <c r="AN626" s="180"/>
      <c r="AO626" s="141">
        <f>VLOOKUP(AK626,'[3]17見直し計画'!$A$50:$AJ$584,11,0)</f>
        <v>0</v>
      </c>
      <c r="AP626" s="140">
        <f>VLOOKUP(AK626,'[3]17見直し計画'!$A$50:$AJ$584,12,0)</f>
        <v>0</v>
      </c>
      <c r="AQ626" s="140">
        <f>VLOOKUP(AK626,'[3]17見直し計画'!$A$50:$AJ$584,13,0)</f>
        <v>0</v>
      </c>
      <c r="AR626" s="140">
        <f>VLOOKUP(AK626,'[3]17見直し計画'!$A$50:$AJ$584,14,0)</f>
        <v>0</v>
      </c>
      <c r="AS626" s="140"/>
      <c r="AT626" s="140">
        <f>VLOOKUP(AK626,'[3]17見直し計画'!$A$50:$AJ$584,35,0)</f>
        <v>0</v>
      </c>
      <c r="AU626" s="140">
        <f>VLOOKUP(AK626,'[3]17見直し計画'!$A$50:$AJ$584,36,0)</f>
        <v>0</v>
      </c>
    </row>
    <row r="627" spans="1:47" ht="52.5" hidden="1">
      <c r="A627" t="s">
        <v>2836</v>
      </c>
      <c r="B627" s="712" t="s">
        <v>2885</v>
      </c>
      <c r="C627" s="143" t="s">
        <v>255</v>
      </c>
      <c r="D627" s="143" t="s">
        <v>2838</v>
      </c>
      <c r="E627">
        <f t="shared" si="47"/>
        <v>541</v>
      </c>
      <c r="F627" s="123">
        <v>21</v>
      </c>
      <c r="G627" s="123">
        <v>21</v>
      </c>
      <c r="H627" s="412" t="s">
        <v>129</v>
      </c>
      <c r="I627" s="412"/>
      <c r="J627" s="261" t="s">
        <v>2886</v>
      </c>
      <c r="K627" s="412" t="s">
        <v>2887</v>
      </c>
      <c r="L627" s="412" t="s">
        <v>2888</v>
      </c>
      <c r="M627" s="412" t="s">
        <v>129</v>
      </c>
      <c r="N627" s="713" t="s">
        <v>2889</v>
      </c>
      <c r="O627" s="684" t="s">
        <v>688</v>
      </c>
      <c r="P627" s="555" t="s">
        <v>122</v>
      </c>
      <c r="Q627" s="685" t="s">
        <v>2890</v>
      </c>
      <c r="R627" s="686" t="s">
        <v>2891</v>
      </c>
      <c r="S627" s="687" t="s">
        <v>125</v>
      </c>
      <c r="T627" s="688" t="s">
        <v>129</v>
      </c>
      <c r="U627" s="689" t="s">
        <v>2892</v>
      </c>
      <c r="V627" s="690" t="s">
        <v>2893</v>
      </c>
      <c r="W627" s="686" t="s">
        <v>2845</v>
      </c>
      <c r="X627" s="655" t="s">
        <v>129</v>
      </c>
      <c r="Y627" s="714">
        <v>33717600</v>
      </c>
      <c r="Z627" s="667" t="s">
        <v>129</v>
      </c>
      <c r="AA627" s="667" t="s">
        <v>129</v>
      </c>
      <c r="AB627" s="656"/>
      <c r="AC627" s="582" t="s">
        <v>129</v>
      </c>
      <c r="AD627" s="120" t="s">
        <v>693</v>
      </c>
      <c r="AE627" s="582"/>
      <c r="AF627" s="582"/>
      <c r="AG627" s="120" t="s">
        <v>131</v>
      </c>
      <c r="AH627" s="120">
        <v>0</v>
      </c>
      <c r="AJ627" s="120"/>
      <c r="AK627" s="120" t="s">
        <v>147</v>
      </c>
      <c r="AL627" s="232" t="str">
        <f>VLOOKUP(AK627,'[3]17見直し計画'!$A$50:$AJ$584,6,0)</f>
        <v>　見直し計画策定以降の新規案件</v>
      </c>
      <c r="AM627" s="140">
        <f>VLOOKUP(AK627,'[3]17見直し計画'!$A$50:$AJ$584,8,0)</f>
        <v>0</v>
      </c>
      <c r="AN627" s="180"/>
      <c r="AO627" s="141">
        <f>VLOOKUP(AK627,'[3]17見直し計画'!$A$50:$AJ$584,11,0)</f>
        <v>0</v>
      </c>
      <c r="AP627" s="140">
        <f>VLOOKUP(AK627,'[3]17見直し計画'!$A$50:$AJ$584,12,0)</f>
        <v>0</v>
      </c>
      <c r="AQ627" s="140">
        <f>VLOOKUP(AK627,'[3]17見直し計画'!$A$50:$AJ$584,13,0)</f>
        <v>0</v>
      </c>
      <c r="AR627" s="140">
        <f>VLOOKUP(AK627,'[3]17見直し計画'!$A$50:$AJ$584,14,0)</f>
        <v>0</v>
      </c>
      <c r="AS627" s="140"/>
      <c r="AT627" s="140">
        <f>VLOOKUP(AK627,'[3]17見直し計画'!$A$50:$AJ$584,35,0)</f>
        <v>0</v>
      </c>
      <c r="AU627" s="140">
        <f>VLOOKUP(AK627,'[3]17見直し計画'!$A$50:$AJ$584,36,0)</f>
        <v>0</v>
      </c>
    </row>
    <row r="628" spans="1:47" ht="52.5" hidden="1">
      <c r="A628" t="s">
        <v>2836</v>
      </c>
      <c r="B628" s="712" t="s">
        <v>2873</v>
      </c>
      <c r="C628" s="143" t="s">
        <v>255</v>
      </c>
      <c r="D628" s="143" t="s">
        <v>2838</v>
      </c>
      <c r="E628">
        <f t="shared" si="47"/>
        <v>542</v>
      </c>
      <c r="F628" s="123">
        <v>22</v>
      </c>
      <c r="G628" s="123">
        <v>22</v>
      </c>
      <c r="H628" s="412" t="s">
        <v>129</v>
      </c>
      <c r="I628" s="412"/>
      <c r="J628" s="261" t="s">
        <v>2894</v>
      </c>
      <c r="K628" s="412" t="s">
        <v>2776</v>
      </c>
      <c r="L628" s="412" t="s">
        <v>2777</v>
      </c>
      <c r="M628" s="412" t="s">
        <v>1596</v>
      </c>
      <c r="N628" s="713" t="s">
        <v>2875</v>
      </c>
      <c r="O628" s="684" t="s">
        <v>355</v>
      </c>
      <c r="P628" s="555" t="s">
        <v>122</v>
      </c>
      <c r="Q628" s="685" t="s">
        <v>2895</v>
      </c>
      <c r="R628" s="686" t="s">
        <v>2896</v>
      </c>
      <c r="S628" s="687" t="s">
        <v>125</v>
      </c>
      <c r="T628" s="688" t="s">
        <v>129</v>
      </c>
      <c r="U628" s="689" t="s">
        <v>2878</v>
      </c>
      <c r="V628" s="690" t="s">
        <v>2879</v>
      </c>
      <c r="W628" s="686" t="s">
        <v>2845</v>
      </c>
      <c r="X628" s="655" t="s">
        <v>129</v>
      </c>
      <c r="Y628" s="714">
        <v>1863645</v>
      </c>
      <c r="Z628" s="667" t="s">
        <v>129</v>
      </c>
      <c r="AA628" s="667" t="s">
        <v>129</v>
      </c>
      <c r="AB628" s="656"/>
      <c r="AC628" s="582" t="s">
        <v>129</v>
      </c>
      <c r="AD628" s="120" t="s">
        <v>361</v>
      </c>
      <c r="AE628" s="582"/>
      <c r="AF628" s="582"/>
      <c r="AG628" s="120" t="s">
        <v>131</v>
      </c>
      <c r="AH628" s="120">
        <v>0</v>
      </c>
      <c r="AJ628" s="120"/>
      <c r="AK628" s="120" t="s">
        <v>147</v>
      </c>
      <c r="AL628" s="232" t="str">
        <f>VLOOKUP(AK628,'[3]17見直し計画'!$A$50:$AJ$584,6,0)</f>
        <v>　見直し計画策定以降の新規案件</v>
      </c>
      <c r="AM628" s="140">
        <f>VLOOKUP(AK628,'[3]17見直し計画'!$A$50:$AJ$584,8,0)</f>
        <v>0</v>
      </c>
      <c r="AN628" s="180"/>
      <c r="AO628" s="141">
        <f>VLOOKUP(AK628,'[3]17見直し計画'!$A$50:$AJ$584,11,0)</f>
        <v>0</v>
      </c>
      <c r="AP628" s="140">
        <f>VLOOKUP(AK628,'[3]17見直し計画'!$A$50:$AJ$584,12,0)</f>
        <v>0</v>
      </c>
      <c r="AQ628" s="140">
        <f>VLOOKUP(AK628,'[3]17見直し計画'!$A$50:$AJ$584,13,0)</f>
        <v>0</v>
      </c>
      <c r="AR628" s="140">
        <f>VLOOKUP(AK628,'[3]17見直し計画'!$A$50:$AJ$584,14,0)</f>
        <v>0</v>
      </c>
      <c r="AS628" s="140"/>
      <c r="AT628" s="140">
        <f>VLOOKUP(AK628,'[3]17見直し計画'!$A$50:$AJ$584,35,0)</f>
        <v>0</v>
      </c>
      <c r="AU628" s="140">
        <f>VLOOKUP(AK628,'[3]17見直し計画'!$A$50:$AJ$584,36,0)</f>
        <v>0</v>
      </c>
    </row>
    <row r="629" spans="1:47" ht="52.5" hidden="1">
      <c r="A629" t="s">
        <v>2836</v>
      </c>
      <c r="B629" s="712" t="s">
        <v>2837</v>
      </c>
      <c r="C629" s="143" t="s">
        <v>255</v>
      </c>
      <c r="D629" s="143" t="s">
        <v>2838</v>
      </c>
      <c r="E629">
        <f t="shared" si="47"/>
        <v>543</v>
      </c>
      <c r="F629" s="123">
        <v>23</v>
      </c>
      <c r="G629" s="123">
        <v>23</v>
      </c>
      <c r="H629" s="412" t="s">
        <v>129</v>
      </c>
      <c r="I629" s="412"/>
      <c r="J629" s="261" t="s">
        <v>129</v>
      </c>
      <c r="K629" s="412" t="s">
        <v>2887</v>
      </c>
      <c r="L629" s="412" t="s">
        <v>129</v>
      </c>
      <c r="M629" s="412" t="s">
        <v>129</v>
      </c>
      <c r="N629" s="713" t="s">
        <v>2840</v>
      </c>
      <c r="O629" s="684" t="s">
        <v>139</v>
      </c>
      <c r="P629" s="555" t="s">
        <v>122</v>
      </c>
      <c r="Q629" s="685" t="s">
        <v>2897</v>
      </c>
      <c r="R629" s="686" t="s">
        <v>2896</v>
      </c>
      <c r="S629" s="687" t="s">
        <v>125</v>
      </c>
      <c r="T629" s="688" t="s">
        <v>129</v>
      </c>
      <c r="U629" s="689" t="s">
        <v>1892</v>
      </c>
      <c r="V629" s="690" t="s">
        <v>1769</v>
      </c>
      <c r="W629" s="686" t="s">
        <v>2845</v>
      </c>
      <c r="X629" s="655" t="s">
        <v>129</v>
      </c>
      <c r="Y629" s="714">
        <v>1338592744</v>
      </c>
      <c r="Z629" s="667" t="s">
        <v>129</v>
      </c>
      <c r="AA629" s="667" t="s">
        <v>129</v>
      </c>
      <c r="AB629" s="656"/>
      <c r="AC629" s="582" t="s">
        <v>129</v>
      </c>
      <c r="AD629" s="120" t="s">
        <v>146</v>
      </c>
      <c r="AE629" s="582"/>
      <c r="AF629" s="582"/>
      <c r="AG629" s="120" t="s">
        <v>131</v>
      </c>
      <c r="AH629" s="120">
        <v>0</v>
      </c>
      <c r="AI629" t="s">
        <v>156</v>
      </c>
      <c r="AJ629" s="120"/>
      <c r="AK629" s="120" t="s">
        <v>147</v>
      </c>
      <c r="AL629" s="232" t="str">
        <f>VLOOKUP(AK629,'[3]17見直し計画'!$A$50:$AJ$584,6,0)</f>
        <v>　見直し計画策定以降の新規案件</v>
      </c>
      <c r="AM629" s="140">
        <f>VLOOKUP(AK629,'[3]17見直し計画'!$A$50:$AJ$584,8,0)</f>
        <v>0</v>
      </c>
      <c r="AN629" s="180"/>
      <c r="AO629" s="141">
        <f>VLOOKUP(AK629,'[3]17見直し計画'!$A$50:$AJ$584,11,0)</f>
        <v>0</v>
      </c>
      <c r="AP629" s="140">
        <f>VLOOKUP(AK629,'[3]17見直し計画'!$A$50:$AJ$584,12,0)</f>
        <v>0</v>
      </c>
      <c r="AQ629" s="140">
        <f>VLOOKUP(AK629,'[3]17見直し計画'!$A$50:$AJ$584,13,0)</f>
        <v>0</v>
      </c>
      <c r="AR629" s="140">
        <f>VLOOKUP(AK629,'[3]17見直し計画'!$A$50:$AJ$584,14,0)</f>
        <v>0</v>
      </c>
      <c r="AS629" s="140"/>
      <c r="AT629" s="140">
        <f>VLOOKUP(AK629,'[3]17見直し計画'!$A$50:$AJ$584,35,0)</f>
        <v>0</v>
      </c>
      <c r="AU629" s="140">
        <f>VLOOKUP(AK629,'[3]17見直し計画'!$A$50:$AJ$584,36,0)</f>
        <v>0</v>
      </c>
    </row>
    <row r="630" spans="1:47" ht="52.5" hidden="1">
      <c r="A630" t="s">
        <v>2836</v>
      </c>
      <c r="B630" s="712" t="s">
        <v>2837</v>
      </c>
      <c r="C630" s="143" t="s">
        <v>255</v>
      </c>
      <c r="D630" s="143" t="s">
        <v>2838</v>
      </c>
      <c r="E630">
        <f t="shared" si="47"/>
        <v>544</v>
      </c>
      <c r="F630" s="123">
        <v>24</v>
      </c>
      <c r="G630" s="123">
        <v>24</v>
      </c>
      <c r="H630" s="412" t="s">
        <v>129</v>
      </c>
      <c r="I630" s="412"/>
      <c r="J630" s="261" t="s">
        <v>2898</v>
      </c>
      <c r="K630" s="412" t="s">
        <v>2899</v>
      </c>
      <c r="L630" s="412" t="s">
        <v>2900</v>
      </c>
      <c r="M630" s="412" t="s">
        <v>2901</v>
      </c>
      <c r="N630" s="713" t="s">
        <v>2840</v>
      </c>
      <c r="O630" s="684" t="s">
        <v>139</v>
      </c>
      <c r="P630" s="555" t="s">
        <v>122</v>
      </c>
      <c r="Q630" s="685" t="s">
        <v>2902</v>
      </c>
      <c r="R630" s="686" t="s">
        <v>2896</v>
      </c>
      <c r="S630" s="687" t="s">
        <v>125</v>
      </c>
      <c r="T630" s="688" t="s">
        <v>129</v>
      </c>
      <c r="U630" s="689" t="s">
        <v>2882</v>
      </c>
      <c r="V630" s="690" t="s">
        <v>656</v>
      </c>
      <c r="W630" s="686" t="s">
        <v>2845</v>
      </c>
      <c r="X630" s="655" t="s">
        <v>129</v>
      </c>
      <c r="Y630" s="714">
        <v>50205507</v>
      </c>
      <c r="Z630" s="667" t="s">
        <v>129</v>
      </c>
      <c r="AA630" s="667" t="s">
        <v>129</v>
      </c>
      <c r="AB630" s="656"/>
      <c r="AC630" s="582" t="s">
        <v>129</v>
      </c>
      <c r="AD630" s="120" t="s">
        <v>146</v>
      </c>
      <c r="AE630" s="582"/>
      <c r="AF630" s="582"/>
      <c r="AG630" s="120" t="s">
        <v>131</v>
      </c>
      <c r="AH630" s="120">
        <v>0</v>
      </c>
      <c r="AJ630" s="120"/>
      <c r="AK630" s="120" t="s">
        <v>147</v>
      </c>
      <c r="AL630" s="232" t="str">
        <f>VLOOKUP(AK630,'[3]17見直し計画'!$A$50:$AJ$584,6,0)</f>
        <v>　見直し計画策定以降の新規案件</v>
      </c>
      <c r="AM630" s="140">
        <f>VLOOKUP(AK630,'[3]17見直し計画'!$A$50:$AJ$584,8,0)</f>
        <v>0</v>
      </c>
      <c r="AN630" s="180"/>
      <c r="AO630" s="141">
        <f>VLOOKUP(AK630,'[3]17見直し計画'!$A$50:$AJ$584,11,0)</f>
        <v>0</v>
      </c>
      <c r="AP630" s="140">
        <f>VLOOKUP(AK630,'[3]17見直し計画'!$A$50:$AJ$584,12,0)</f>
        <v>0</v>
      </c>
      <c r="AQ630" s="140">
        <f>VLOOKUP(AK630,'[3]17見直し計画'!$A$50:$AJ$584,13,0)</f>
        <v>0</v>
      </c>
      <c r="AR630" s="140">
        <f>VLOOKUP(AK630,'[3]17見直し計画'!$A$50:$AJ$584,14,0)</f>
        <v>0</v>
      </c>
      <c r="AS630" s="140"/>
      <c r="AT630" s="140">
        <f>VLOOKUP(AK630,'[3]17見直し計画'!$A$50:$AJ$584,35,0)</f>
        <v>0</v>
      </c>
      <c r="AU630" s="140">
        <f>VLOOKUP(AK630,'[3]17見直し計画'!$A$50:$AJ$584,36,0)</f>
        <v>0</v>
      </c>
    </row>
    <row r="631" spans="1:47" ht="52.5" hidden="1">
      <c r="A631" t="s">
        <v>2836</v>
      </c>
      <c r="B631" s="712" t="s">
        <v>2837</v>
      </c>
      <c r="C631" s="143" t="s">
        <v>255</v>
      </c>
      <c r="D631" s="143" t="s">
        <v>2838</v>
      </c>
      <c r="E631">
        <f t="shared" si="47"/>
        <v>545</v>
      </c>
      <c r="F631" s="123">
        <v>25</v>
      </c>
      <c r="G631" s="123">
        <v>25</v>
      </c>
      <c r="H631" s="412" t="s">
        <v>129</v>
      </c>
      <c r="I631" s="412"/>
      <c r="J631" s="261" t="s">
        <v>2903</v>
      </c>
      <c r="K631" s="412" t="s">
        <v>2904</v>
      </c>
      <c r="L631" s="412" t="s">
        <v>2888</v>
      </c>
      <c r="M631" s="412" t="s">
        <v>129</v>
      </c>
      <c r="N631" s="713" t="s">
        <v>2840</v>
      </c>
      <c r="O631" s="684" t="s">
        <v>139</v>
      </c>
      <c r="P631" s="555" t="s">
        <v>122</v>
      </c>
      <c r="Q631" s="685" t="s">
        <v>2905</v>
      </c>
      <c r="R631" s="686" t="s">
        <v>2896</v>
      </c>
      <c r="S631" s="687" t="s">
        <v>125</v>
      </c>
      <c r="T631" s="688" t="s">
        <v>129</v>
      </c>
      <c r="U631" s="689" t="s">
        <v>2823</v>
      </c>
      <c r="V631" s="690" t="s">
        <v>2906</v>
      </c>
      <c r="W631" s="686" t="s">
        <v>2845</v>
      </c>
      <c r="X631" s="655" t="s">
        <v>129</v>
      </c>
      <c r="Y631" s="714">
        <v>4303678</v>
      </c>
      <c r="Z631" s="667" t="s">
        <v>129</v>
      </c>
      <c r="AA631" s="667" t="s">
        <v>129</v>
      </c>
      <c r="AB631" s="656"/>
      <c r="AC631" s="582" t="s">
        <v>129</v>
      </c>
      <c r="AD631" s="120" t="s">
        <v>146</v>
      </c>
      <c r="AE631" s="582"/>
      <c r="AF631" s="582"/>
      <c r="AG631" s="120" t="s">
        <v>131</v>
      </c>
      <c r="AH631" s="120">
        <v>0</v>
      </c>
      <c r="AJ631" s="120"/>
      <c r="AK631" s="120" t="s">
        <v>147</v>
      </c>
      <c r="AL631" s="232" t="str">
        <f>VLOOKUP(AK631,'[3]17見直し計画'!$A$50:$AJ$584,6,0)</f>
        <v>　見直し計画策定以降の新規案件</v>
      </c>
      <c r="AM631" s="140">
        <f>VLOOKUP(AK631,'[3]17見直し計画'!$A$50:$AJ$584,8,0)</f>
        <v>0</v>
      </c>
      <c r="AN631" s="180"/>
      <c r="AO631" s="141">
        <f>VLOOKUP(AK631,'[3]17見直し計画'!$A$50:$AJ$584,11,0)</f>
        <v>0</v>
      </c>
      <c r="AP631" s="140">
        <f>VLOOKUP(AK631,'[3]17見直し計画'!$A$50:$AJ$584,12,0)</f>
        <v>0</v>
      </c>
      <c r="AQ631" s="140">
        <f>VLOOKUP(AK631,'[3]17見直し計画'!$A$50:$AJ$584,13,0)</f>
        <v>0</v>
      </c>
      <c r="AR631" s="140">
        <f>VLOOKUP(AK631,'[3]17見直し計画'!$A$50:$AJ$584,14,0)</f>
        <v>0</v>
      </c>
      <c r="AS631" s="140"/>
      <c r="AT631" s="140">
        <f>VLOOKUP(AK631,'[3]17見直し計画'!$A$50:$AJ$584,35,0)</f>
        <v>0</v>
      </c>
      <c r="AU631" s="140">
        <f>VLOOKUP(AK631,'[3]17見直し計画'!$A$50:$AJ$584,36,0)</f>
        <v>0</v>
      </c>
    </row>
    <row r="633" spans="1:47">
      <c r="Y633" s="715">
        <f>SUM(Y87:Y631)</f>
        <v>26665315625</v>
      </c>
      <c r="Z633" s="716" t="s">
        <v>633</v>
      </c>
    </row>
    <row r="636" spans="1:47">
      <c r="E636">
        <v>545</v>
      </c>
      <c r="F636" s="15" t="s">
        <v>2907</v>
      </c>
    </row>
    <row r="637" spans="1:47">
      <c r="E637">
        <v>43</v>
      </c>
      <c r="F637" s="15" t="s">
        <v>2907</v>
      </c>
      <c r="G637" t="s">
        <v>2908</v>
      </c>
    </row>
    <row r="638" spans="1:47">
      <c r="E638">
        <v>125</v>
      </c>
      <c r="F638" s="15" t="s">
        <v>2907</v>
      </c>
      <c r="G638" t="s">
        <v>2909</v>
      </c>
    </row>
    <row r="639" spans="1:47">
      <c r="D639" t="s">
        <v>7</v>
      </c>
      <c r="E639">
        <f>SUM(E636:E638)</f>
        <v>713</v>
      </c>
    </row>
  </sheetData>
  <autoFilter ref="A86:BB631">
    <filterColumn colId="1"/>
    <filterColumn colId="3">
      <filters>
        <filter val="◎"/>
      </filters>
    </filterColumn>
    <filterColumn colId="10"/>
    <filterColumn colId="13"/>
    <filterColumn colId="14"/>
    <filterColumn colId="17"/>
    <filterColumn colId="20"/>
    <filterColumn colId="24"/>
  </autoFilter>
  <mergeCells count="125">
    <mergeCell ref="B1:I2"/>
    <mergeCell ref="F3:G3"/>
    <mergeCell ref="H3:I3"/>
    <mergeCell ref="J3:K3"/>
    <mergeCell ref="L3:M3"/>
    <mergeCell ref="N3:O3"/>
    <mergeCell ref="B9:E9"/>
    <mergeCell ref="B10:E10"/>
    <mergeCell ref="B11:E11"/>
    <mergeCell ref="B12:E12"/>
    <mergeCell ref="B13:E13"/>
    <mergeCell ref="B14:E14"/>
    <mergeCell ref="P3:Q3"/>
    <mergeCell ref="R3:S3"/>
    <mergeCell ref="B5:E5"/>
    <mergeCell ref="B6:E6"/>
    <mergeCell ref="B7:E7"/>
    <mergeCell ref="B8:E8"/>
    <mergeCell ref="T31:W31"/>
    <mergeCell ref="B32:E32"/>
    <mergeCell ref="B21:E21"/>
    <mergeCell ref="B22:E22"/>
    <mergeCell ref="B23:E23"/>
    <mergeCell ref="B24:E24"/>
    <mergeCell ref="B25:E25"/>
    <mergeCell ref="B26:E26"/>
    <mergeCell ref="B15:E15"/>
    <mergeCell ref="B16:E16"/>
    <mergeCell ref="B17:E17"/>
    <mergeCell ref="B18:E18"/>
    <mergeCell ref="B19:E19"/>
    <mergeCell ref="B20:C20"/>
    <mergeCell ref="B33:E33"/>
    <mergeCell ref="B34:E34"/>
    <mergeCell ref="F37:G37"/>
    <mergeCell ref="H37:I37"/>
    <mergeCell ref="J37:K37"/>
    <mergeCell ref="L37:M37"/>
    <mergeCell ref="B27:E27"/>
    <mergeCell ref="B28:E28"/>
    <mergeCell ref="B29:E29"/>
    <mergeCell ref="B31:E31"/>
    <mergeCell ref="B53:E53"/>
    <mergeCell ref="B54:E54"/>
    <mergeCell ref="B55:E55"/>
    <mergeCell ref="B56:E56"/>
    <mergeCell ref="B57:E57"/>
    <mergeCell ref="B58:E58"/>
    <mergeCell ref="N37:O37"/>
    <mergeCell ref="P37:Q37"/>
    <mergeCell ref="R37:S37"/>
    <mergeCell ref="B39:E39"/>
    <mergeCell ref="B44:E44"/>
    <mergeCell ref="B52:E52"/>
    <mergeCell ref="B71:E71"/>
    <mergeCell ref="E74:G74"/>
    <mergeCell ref="B65:E65"/>
    <mergeCell ref="B66:E66"/>
    <mergeCell ref="B67:E67"/>
    <mergeCell ref="B68:E68"/>
    <mergeCell ref="B69:E69"/>
    <mergeCell ref="B70:E70"/>
    <mergeCell ref="B59:E59"/>
    <mergeCell ref="B60:E60"/>
    <mergeCell ref="B61:E61"/>
    <mergeCell ref="B62:E62"/>
    <mergeCell ref="B63:E63"/>
    <mergeCell ref="B64:E64"/>
    <mergeCell ref="Q77:Q86"/>
    <mergeCell ref="R77:R86"/>
    <mergeCell ref="S77:S86"/>
    <mergeCell ref="H77:H86"/>
    <mergeCell ref="I77:I86"/>
    <mergeCell ref="J77:J86"/>
    <mergeCell ref="K77:K86"/>
    <mergeCell ref="L77:L86"/>
    <mergeCell ref="M77:M86"/>
    <mergeCell ref="B80:B81"/>
    <mergeCell ref="C81:C83"/>
    <mergeCell ref="D82:D86"/>
    <mergeCell ref="F77:F86"/>
    <mergeCell ref="D77:D79"/>
    <mergeCell ref="B76:B77"/>
    <mergeCell ref="AT77:AT86"/>
    <mergeCell ref="AU77:AU86"/>
    <mergeCell ref="AV77:AV86"/>
    <mergeCell ref="AN77:AN86"/>
    <mergeCell ref="AO77:AO86"/>
    <mergeCell ref="AP77:AP86"/>
    <mergeCell ref="AQ77:AQ86"/>
    <mergeCell ref="AR77:AR86"/>
    <mergeCell ref="AS77:AS86"/>
    <mergeCell ref="AF77:AF86"/>
    <mergeCell ref="AH77:AH86"/>
    <mergeCell ref="AJ77:AJ86"/>
    <mergeCell ref="AK77:AK86"/>
    <mergeCell ref="AL77:AL86"/>
    <mergeCell ref="AM77:AM86"/>
    <mergeCell ref="Z77:Z86"/>
    <mergeCell ref="AA77:AA86"/>
    <mergeCell ref="AB77:AB86"/>
    <mergeCell ref="AV123:BA123"/>
    <mergeCell ref="AV126:BA126"/>
    <mergeCell ref="AV129:BA129"/>
    <mergeCell ref="AV167:BA167"/>
    <mergeCell ref="AV173:BA173"/>
    <mergeCell ref="G77:G86"/>
    <mergeCell ref="AZ77:AZ86"/>
    <mergeCell ref="BA77:BA86"/>
    <mergeCell ref="BB77:BB86"/>
    <mergeCell ref="AW77:AW86"/>
    <mergeCell ref="AX77:AX86"/>
    <mergeCell ref="AY77:AY86"/>
    <mergeCell ref="AC77:AC86"/>
    <mergeCell ref="AD77:AD86"/>
    <mergeCell ref="AE77:AE86"/>
    <mergeCell ref="T77:T86"/>
    <mergeCell ref="U77:U86"/>
    <mergeCell ref="V77:V86"/>
    <mergeCell ref="W77:W86"/>
    <mergeCell ref="X77:X86"/>
    <mergeCell ref="Y77:Y86"/>
    <mergeCell ref="N77:N86"/>
    <mergeCell ref="O77:O84"/>
    <mergeCell ref="P77:P84"/>
  </mergeCells>
  <phoneticPr fontId="4"/>
  <conditionalFormatting sqref="R351">
    <cfRule type="expression" dxfId="29" priority="28" stopIfTrue="1">
      <formula>$AO351=1</formula>
    </cfRule>
    <cfRule type="expression" dxfId="28" priority="29" stopIfTrue="1">
      <formula>$M351="随意（単価）"</formula>
    </cfRule>
    <cfRule type="expression" dxfId="27" priority="30" stopIfTrue="1">
      <formula>$F351="秘"</formula>
    </cfRule>
  </conditionalFormatting>
  <conditionalFormatting sqref="R351">
    <cfRule type="expression" dxfId="26" priority="25" stopIfTrue="1">
      <formula>$AN351=1</formula>
    </cfRule>
    <cfRule type="expression" dxfId="25" priority="26" stopIfTrue="1">
      <formula>$M351="随意（単価）"</formula>
    </cfRule>
    <cfRule type="expression" dxfId="24" priority="27" stopIfTrue="1">
      <formula>$F351="秘"</formula>
    </cfRule>
  </conditionalFormatting>
  <conditionalFormatting sqref="AB323:AB345 H302:H319">
    <cfRule type="expression" dxfId="23" priority="22" stopIfTrue="1">
      <formula>$AP302=1</formula>
    </cfRule>
    <cfRule type="expression" dxfId="22" priority="23" stopIfTrue="1">
      <formula>$M302="随意（単価）"</formula>
    </cfRule>
    <cfRule type="expression" dxfId="21" priority="24" stopIfTrue="1">
      <formula>$F302="秘"</formula>
    </cfRule>
  </conditionalFormatting>
  <conditionalFormatting sqref="AB323:AB334 H304 H314">
    <cfRule type="expression" dxfId="20" priority="19" stopIfTrue="1">
      <formula>$AQ304=1</formula>
    </cfRule>
    <cfRule type="expression" dxfId="19" priority="20" stopIfTrue="1">
      <formula>$M304="随意（単価）"</formula>
    </cfRule>
    <cfRule type="expression" dxfId="18" priority="21" stopIfTrue="1">
      <formula>$F304="秘"</formula>
    </cfRule>
  </conditionalFormatting>
  <conditionalFormatting sqref="AB325 AB334 H271">
    <cfRule type="expression" dxfId="17" priority="16" stopIfTrue="1">
      <formula>#REF!=1</formula>
    </cfRule>
    <cfRule type="expression" dxfId="16" priority="17" stopIfTrue="1">
      <formula>$M271="随意（単価）"</formula>
    </cfRule>
    <cfRule type="expression" dxfId="15" priority="18" stopIfTrue="1">
      <formula>$F271="秘"</formula>
    </cfRule>
  </conditionalFormatting>
  <conditionalFormatting sqref="H260:H271">
    <cfRule type="expression" dxfId="14" priority="13" stopIfTrue="1">
      <formula>$AQ260=1</formula>
    </cfRule>
    <cfRule type="expression" dxfId="13" priority="14" stopIfTrue="1">
      <formula>$M260="随意（単価）"</formula>
    </cfRule>
    <cfRule type="expression" dxfId="12" priority="15" stopIfTrue="1">
      <formula>$F260="秘"</formula>
    </cfRule>
  </conditionalFormatting>
  <conditionalFormatting sqref="H260:H300">
    <cfRule type="expression" dxfId="11" priority="10" stopIfTrue="1">
      <formula>$AP260=1</formula>
    </cfRule>
    <cfRule type="expression" dxfId="10" priority="11" stopIfTrue="1">
      <formula>$M260="随意（単価）"</formula>
    </cfRule>
    <cfRule type="expression" dxfId="9" priority="12" stopIfTrue="1">
      <formula>$F260="秘"</formula>
    </cfRule>
  </conditionalFormatting>
  <conditionalFormatting sqref="H262">
    <cfRule type="expression" dxfId="8" priority="7" stopIfTrue="1">
      <formula>#REF!=1</formula>
    </cfRule>
    <cfRule type="expression" dxfId="7" priority="8" stopIfTrue="1">
      <formula>$M262="随意（単価）"</formula>
    </cfRule>
    <cfRule type="expression" dxfId="6" priority="9" stopIfTrue="1">
      <formula>$F262="秘"</formula>
    </cfRule>
  </conditionalFormatting>
  <conditionalFormatting sqref="H302">
    <cfRule type="expression" dxfId="5" priority="4" stopIfTrue="1">
      <formula>$AQ302=1</formula>
    </cfRule>
    <cfRule type="expression" dxfId="4" priority="5" stopIfTrue="1">
      <formula>$M302="随意（単価）"</formula>
    </cfRule>
    <cfRule type="expression" dxfId="3" priority="6" stopIfTrue="1">
      <formula>$F302="秘"</formula>
    </cfRule>
  </conditionalFormatting>
  <conditionalFormatting sqref="H301">
    <cfRule type="expression" dxfId="2" priority="1" stopIfTrue="1">
      <formula>$AP84=1</formula>
    </cfRule>
    <cfRule type="expression" dxfId="1" priority="2" stopIfTrue="1">
      <formula>$M84="随意（単価）"</formula>
    </cfRule>
    <cfRule type="expression" dxfId="0" priority="3" stopIfTrue="1">
      <formula>$F84="秘"</formula>
    </cfRule>
  </conditionalFormatting>
  <dataValidations count="6">
    <dataValidation type="list" allowBlank="1" showInputMessage="1" showErrorMessage="1" sqref="O453">
      <formula1>$AK$6:$AK$13</formula1>
    </dataValidation>
    <dataValidation type="list" allowBlank="1" showInputMessage="1" showErrorMessage="1" sqref="O365">
      <formula1>$AK$6:$AK$12</formula1>
    </dataValidation>
    <dataValidation type="list" allowBlank="1" showInputMessage="1" showErrorMessage="1" sqref="O580:O606">
      <formula1>$AH$77:$AH$83</formula1>
    </dataValidation>
    <dataValidation type="list" allowBlank="1" showInputMessage="1" showErrorMessage="1" sqref="O579">
      <formula1>$AH$77:$AH$84</formula1>
    </dataValidation>
    <dataValidation type="list" allowBlank="1" showInputMessage="1" showErrorMessage="1" sqref="O438:O452 O454:O475">
      <formula1>$AO$77:$AO$84</formula1>
    </dataValidation>
    <dataValidation type="list" allowBlank="1" showInputMessage="1" showErrorMessage="1" sqref="AG516:AG541">
      <formula1>$Z$78:$Z$81</formula1>
    </dataValidation>
  </dataValidations>
  <printOptions horizontalCentered="1"/>
  <pageMargins left="0" right="0" top="0.39370078740157483" bottom="0.19685039370078741" header="0" footer="0"/>
  <pageSetup paperSize="8" scale="48" fitToHeight="3" orientation="landscape" horizontalDpi="4294967294" r:id="rId1"/>
  <headerFooter>
    <oddHeader>&amp;R&amp;14随契（物品役務・公共工事）　&amp;P／&amp;N</oddHeader>
  </headerFooter>
  <rowBreaks count="1" manualBreakCount="1">
    <brk id="71" min="1" max="46" man="1"/>
  </rowBreaks>
  <colBreaks count="2" manualBreakCount="2">
    <brk id="34" max="627" man="1"/>
    <brk id="53" min="2" max="629" man="1"/>
  </colBreaks>
  <drawing r:id="rId2"/>
</worksheet>
</file>

<file path=xl/worksheets/sheet2.xml><?xml version="1.0" encoding="utf-8"?>
<worksheet xmlns="http://schemas.openxmlformats.org/spreadsheetml/2006/main" xmlns:r="http://schemas.openxmlformats.org/officeDocument/2006/relationships">
  <sheetPr>
    <tabColor rgb="FFFF0000"/>
  </sheetPr>
  <dimension ref="A1:N47"/>
  <sheetViews>
    <sheetView tabSelected="1" view="pageBreakPreview" zoomScale="60" zoomScaleNormal="100" workbookViewId="0">
      <selection activeCell="C9" sqref="C9"/>
    </sheetView>
  </sheetViews>
  <sheetFormatPr defaultRowHeight="13.5"/>
  <cols>
    <col min="2" max="2" width="25.875" customWidth="1"/>
    <col min="3" max="3" width="19.5" customWidth="1"/>
    <col min="4" max="4" width="19.25" bestFit="1" customWidth="1"/>
    <col min="5" max="5" width="21.25" customWidth="1"/>
    <col min="6" max="6" width="20.125" customWidth="1"/>
    <col min="7" max="7" width="35.875" customWidth="1"/>
    <col min="8" max="8" width="10.75" customWidth="1"/>
    <col min="9" max="9" width="10.875" customWidth="1"/>
    <col min="11" max="11" width="8.125" customWidth="1"/>
    <col min="12" max="12" width="42.5" customWidth="1"/>
    <col min="13" max="13" width="10.375" customWidth="1"/>
    <col min="14" max="14" width="13.125" customWidth="1"/>
  </cols>
  <sheetData>
    <row r="1" spans="1:14" ht="39.75" customHeight="1">
      <c r="B1" s="853"/>
      <c r="C1" s="853"/>
      <c r="D1" s="853"/>
      <c r="E1" s="853"/>
      <c r="F1" s="853"/>
      <c r="G1" s="853"/>
      <c r="H1" s="853"/>
      <c r="I1" s="853"/>
      <c r="J1" s="853"/>
      <c r="K1" s="853"/>
      <c r="L1" s="853"/>
      <c r="M1" s="853"/>
      <c r="N1" s="853"/>
    </row>
    <row r="2" spans="1:14" ht="24.75" customHeight="1">
      <c r="B2" s="854" t="s">
        <v>2985</v>
      </c>
      <c r="C2" s="854"/>
      <c r="D2" s="854"/>
      <c r="E2" s="854"/>
      <c r="F2" s="854"/>
      <c r="G2" s="854"/>
      <c r="H2" s="854"/>
      <c r="I2" s="854"/>
      <c r="J2" s="854"/>
      <c r="K2" s="854"/>
      <c r="L2" s="854"/>
      <c r="M2" s="854"/>
      <c r="N2" s="854"/>
    </row>
    <row r="3" spans="1:14" ht="19.5" customHeight="1">
      <c r="B3" s="854"/>
      <c r="C3" s="854"/>
      <c r="D3" s="854"/>
      <c r="E3" s="854"/>
      <c r="F3" s="854"/>
      <c r="G3" s="854"/>
      <c r="H3" s="854"/>
      <c r="I3" s="854"/>
      <c r="J3" s="854"/>
      <c r="K3" s="854"/>
      <c r="L3" s="854"/>
      <c r="M3" s="854"/>
      <c r="N3" s="854"/>
    </row>
    <row r="4" spans="1:14" ht="27" customHeight="1">
      <c r="B4" s="849" t="s">
        <v>2925</v>
      </c>
      <c r="M4" s="851" t="s">
        <v>2930</v>
      </c>
      <c r="N4" s="851"/>
    </row>
    <row r="5" spans="1:14" ht="14.25" thickBot="1">
      <c r="B5" s="850"/>
      <c r="M5" s="852"/>
      <c r="N5" s="852"/>
    </row>
    <row r="6" spans="1:14" ht="103.5" customHeight="1">
      <c r="B6" s="717" t="s">
        <v>2921</v>
      </c>
      <c r="C6" s="718" t="s">
        <v>2922</v>
      </c>
      <c r="D6" s="719" t="s">
        <v>82</v>
      </c>
      <c r="E6" s="719" t="s">
        <v>83</v>
      </c>
      <c r="F6" s="719" t="s">
        <v>84</v>
      </c>
      <c r="G6" s="720" t="s">
        <v>2928</v>
      </c>
      <c r="H6" s="719" t="s">
        <v>86</v>
      </c>
      <c r="I6" s="719" t="s">
        <v>87</v>
      </c>
      <c r="J6" s="719" t="s">
        <v>88</v>
      </c>
      <c r="K6" s="721" t="s">
        <v>2926</v>
      </c>
      <c r="L6" s="719" t="s">
        <v>2923</v>
      </c>
      <c r="M6" s="718" t="s">
        <v>2924</v>
      </c>
      <c r="N6" s="722" t="s">
        <v>90</v>
      </c>
    </row>
    <row r="7" spans="1:14" ht="90" customHeight="1">
      <c r="A7" s="749"/>
      <c r="B7" s="747" t="s">
        <v>2931</v>
      </c>
      <c r="C7" s="735" t="s">
        <v>2941</v>
      </c>
      <c r="D7" s="740">
        <v>41001</v>
      </c>
      <c r="E7" s="733" t="s">
        <v>358</v>
      </c>
      <c r="F7" s="727" t="s">
        <v>359</v>
      </c>
      <c r="G7" s="751" t="s">
        <v>1728</v>
      </c>
      <c r="H7" s="725">
        <v>54066204</v>
      </c>
      <c r="I7" s="725">
        <v>54066204</v>
      </c>
      <c r="J7" s="726">
        <v>1</v>
      </c>
      <c r="K7" s="738"/>
      <c r="L7" s="738" t="s">
        <v>2910</v>
      </c>
      <c r="M7" s="727" t="s">
        <v>2911</v>
      </c>
      <c r="N7" s="723"/>
    </row>
    <row r="8" spans="1:14" ht="90" customHeight="1">
      <c r="A8" s="749"/>
      <c r="B8" s="747" t="s">
        <v>2947</v>
      </c>
      <c r="C8" s="735" t="s">
        <v>2941</v>
      </c>
      <c r="D8" s="740">
        <v>41001</v>
      </c>
      <c r="E8" s="733" t="s">
        <v>482</v>
      </c>
      <c r="F8" s="727" t="s">
        <v>483</v>
      </c>
      <c r="G8" s="751" t="s">
        <v>2932</v>
      </c>
      <c r="H8" s="725">
        <v>19815948</v>
      </c>
      <c r="I8" s="725">
        <v>19815948</v>
      </c>
      <c r="J8" s="726">
        <v>1</v>
      </c>
      <c r="K8" s="738"/>
      <c r="L8" s="738" t="s">
        <v>2910</v>
      </c>
      <c r="M8" s="727" t="s">
        <v>2911</v>
      </c>
      <c r="N8" s="723"/>
    </row>
    <row r="9" spans="1:14" ht="109.5" customHeight="1">
      <c r="A9" s="749"/>
      <c r="B9" s="760" t="s">
        <v>2958</v>
      </c>
      <c r="C9" s="735" t="s">
        <v>2941</v>
      </c>
      <c r="D9" s="740">
        <v>41001</v>
      </c>
      <c r="E9" s="727" t="s">
        <v>554</v>
      </c>
      <c r="F9" s="727" t="s">
        <v>555</v>
      </c>
      <c r="G9" s="751" t="s">
        <v>2948</v>
      </c>
      <c r="H9" s="725">
        <v>9600000</v>
      </c>
      <c r="I9" s="725">
        <v>9600000</v>
      </c>
      <c r="J9" s="726">
        <v>1</v>
      </c>
      <c r="K9" s="738"/>
      <c r="L9" s="727" t="s">
        <v>2912</v>
      </c>
      <c r="M9" s="727" t="s">
        <v>2913</v>
      </c>
      <c r="N9" s="723"/>
    </row>
    <row r="10" spans="1:14" ht="90" customHeight="1">
      <c r="A10" s="749"/>
      <c r="B10" s="760" t="s">
        <v>2959</v>
      </c>
      <c r="C10" s="735" t="s">
        <v>2941</v>
      </c>
      <c r="D10" s="740">
        <v>41001</v>
      </c>
      <c r="E10" s="733" t="s">
        <v>2949</v>
      </c>
      <c r="F10" s="727" t="s">
        <v>562</v>
      </c>
      <c r="G10" s="751" t="s">
        <v>2933</v>
      </c>
      <c r="H10" s="725">
        <v>9156000</v>
      </c>
      <c r="I10" s="736">
        <v>9156000</v>
      </c>
      <c r="J10" s="726">
        <v>1</v>
      </c>
      <c r="K10" s="738"/>
      <c r="L10" s="738" t="s">
        <v>2914</v>
      </c>
      <c r="M10" s="727" t="s">
        <v>2915</v>
      </c>
      <c r="N10" s="723"/>
    </row>
    <row r="11" spans="1:14" ht="90" customHeight="1">
      <c r="A11" s="749"/>
      <c r="B11" s="760" t="s">
        <v>2960</v>
      </c>
      <c r="C11" s="735" t="s">
        <v>2941</v>
      </c>
      <c r="D11" s="740">
        <v>41000</v>
      </c>
      <c r="E11" s="727" t="s">
        <v>615</v>
      </c>
      <c r="F11" s="727" t="s">
        <v>616</v>
      </c>
      <c r="G11" s="751" t="s">
        <v>2987</v>
      </c>
      <c r="H11" s="725">
        <v>4410000</v>
      </c>
      <c r="I11" s="736">
        <v>4410000</v>
      </c>
      <c r="J11" s="726">
        <v>1</v>
      </c>
      <c r="K11" s="738"/>
      <c r="L11" s="738" t="s">
        <v>2914</v>
      </c>
      <c r="M11" s="727" t="s">
        <v>2915</v>
      </c>
      <c r="N11" s="723"/>
    </row>
    <row r="12" spans="1:14" ht="90" customHeight="1">
      <c r="A12" s="749"/>
      <c r="B12" s="760" t="s">
        <v>2961</v>
      </c>
      <c r="C12" s="735" t="s">
        <v>2941</v>
      </c>
      <c r="D12" s="740">
        <v>41001</v>
      </c>
      <c r="E12" s="727" t="s">
        <v>675</v>
      </c>
      <c r="F12" s="727" t="s">
        <v>676</v>
      </c>
      <c r="G12" s="751" t="s">
        <v>2934</v>
      </c>
      <c r="H12" s="730">
        <v>5166000</v>
      </c>
      <c r="I12" s="725">
        <v>5166000</v>
      </c>
      <c r="J12" s="726">
        <v>1</v>
      </c>
      <c r="K12" s="738"/>
      <c r="L12" s="738" t="s">
        <v>2914</v>
      </c>
      <c r="M12" s="727" t="s">
        <v>2915</v>
      </c>
      <c r="N12" s="723"/>
    </row>
    <row r="13" spans="1:14" ht="90" customHeight="1">
      <c r="A13" s="749"/>
      <c r="B13" s="760" t="s">
        <v>2962</v>
      </c>
      <c r="C13" s="735" t="s">
        <v>2941</v>
      </c>
      <c r="D13" s="740">
        <v>41001</v>
      </c>
      <c r="E13" s="727" t="s">
        <v>709</v>
      </c>
      <c r="F13" s="727" t="s">
        <v>710</v>
      </c>
      <c r="G13" s="751" t="s">
        <v>2933</v>
      </c>
      <c r="H13" s="728">
        <v>4032000</v>
      </c>
      <c r="I13" s="728">
        <v>4032000</v>
      </c>
      <c r="J13" s="726">
        <v>1</v>
      </c>
      <c r="K13" s="738"/>
      <c r="L13" s="738" t="s">
        <v>2914</v>
      </c>
      <c r="M13" s="727" t="s">
        <v>2915</v>
      </c>
      <c r="N13" s="723"/>
    </row>
    <row r="14" spans="1:14" ht="90" customHeight="1">
      <c r="A14" s="749"/>
      <c r="B14" s="760" t="s">
        <v>2963</v>
      </c>
      <c r="C14" s="735" t="s">
        <v>2941</v>
      </c>
      <c r="D14" s="740">
        <v>41001</v>
      </c>
      <c r="E14" s="727" t="s">
        <v>736</v>
      </c>
      <c r="F14" s="727" t="s">
        <v>737</v>
      </c>
      <c r="G14" s="751" t="s">
        <v>2933</v>
      </c>
      <c r="H14" s="728">
        <v>3622500</v>
      </c>
      <c r="I14" s="728">
        <v>3622500</v>
      </c>
      <c r="J14" s="726">
        <v>1</v>
      </c>
      <c r="K14" s="738"/>
      <c r="L14" s="738" t="s">
        <v>2914</v>
      </c>
      <c r="M14" s="727" t="s">
        <v>2915</v>
      </c>
      <c r="N14" s="723"/>
    </row>
    <row r="15" spans="1:14" ht="90" customHeight="1">
      <c r="A15" s="749"/>
      <c r="B15" s="760" t="s">
        <v>2964</v>
      </c>
      <c r="C15" s="735" t="s">
        <v>2941</v>
      </c>
      <c r="D15" s="740">
        <v>41000</v>
      </c>
      <c r="E15" s="727" t="s">
        <v>761</v>
      </c>
      <c r="F15" s="727" t="s">
        <v>762</v>
      </c>
      <c r="G15" s="751" t="s">
        <v>2987</v>
      </c>
      <c r="H15" s="728">
        <v>3402000</v>
      </c>
      <c r="I15" s="728">
        <v>3402000</v>
      </c>
      <c r="J15" s="726">
        <v>1</v>
      </c>
      <c r="K15" s="738"/>
      <c r="L15" s="738" t="s">
        <v>2914</v>
      </c>
      <c r="M15" s="727" t="s">
        <v>2915</v>
      </c>
      <c r="N15" s="723"/>
    </row>
    <row r="16" spans="1:14" ht="90" customHeight="1">
      <c r="A16" s="749"/>
      <c r="B16" s="760" t="s">
        <v>2965</v>
      </c>
      <c r="C16" s="735" t="s">
        <v>2941</v>
      </c>
      <c r="D16" s="740">
        <v>41001</v>
      </c>
      <c r="E16" s="727" t="s">
        <v>358</v>
      </c>
      <c r="F16" s="734" t="s">
        <v>359</v>
      </c>
      <c r="G16" s="751" t="s">
        <v>2934</v>
      </c>
      <c r="H16" s="728">
        <v>2759400</v>
      </c>
      <c r="I16" s="728">
        <v>2759400</v>
      </c>
      <c r="J16" s="726">
        <v>1</v>
      </c>
      <c r="K16" s="738"/>
      <c r="L16" s="738" t="s">
        <v>2910</v>
      </c>
      <c r="M16" s="727" t="s">
        <v>2911</v>
      </c>
      <c r="N16" s="723"/>
    </row>
    <row r="17" spans="1:14" ht="90" customHeight="1">
      <c r="A17" s="749"/>
      <c r="B17" s="760" t="s">
        <v>2950</v>
      </c>
      <c r="C17" s="735" t="s">
        <v>2941</v>
      </c>
      <c r="D17" s="740">
        <v>41001</v>
      </c>
      <c r="E17" s="727" t="s">
        <v>2951</v>
      </c>
      <c r="F17" s="734" t="s">
        <v>2952</v>
      </c>
      <c r="G17" s="751" t="s">
        <v>2932</v>
      </c>
      <c r="H17" s="728">
        <v>2184000</v>
      </c>
      <c r="I17" s="728">
        <v>2184000</v>
      </c>
      <c r="J17" s="726">
        <v>1</v>
      </c>
      <c r="K17" s="738"/>
      <c r="L17" s="738" t="s">
        <v>2910</v>
      </c>
      <c r="M17" s="727" t="s">
        <v>2911</v>
      </c>
      <c r="N17" s="723"/>
    </row>
    <row r="18" spans="1:14" ht="90" customHeight="1">
      <c r="A18" s="749"/>
      <c r="B18" s="760" t="s">
        <v>2986</v>
      </c>
      <c r="C18" s="735" t="s">
        <v>2941</v>
      </c>
      <c r="D18" s="740">
        <v>41001</v>
      </c>
      <c r="E18" s="727" t="s">
        <v>855</v>
      </c>
      <c r="F18" s="727" t="s">
        <v>856</v>
      </c>
      <c r="G18" s="751" t="s">
        <v>2935</v>
      </c>
      <c r="H18" s="728">
        <v>1905120</v>
      </c>
      <c r="I18" s="728">
        <v>1905120</v>
      </c>
      <c r="J18" s="726">
        <v>1</v>
      </c>
      <c r="K18" s="738"/>
      <c r="L18" s="738" t="s">
        <v>2914</v>
      </c>
      <c r="M18" s="727" t="s">
        <v>2915</v>
      </c>
      <c r="N18" s="723"/>
    </row>
    <row r="19" spans="1:14" ht="93.75" customHeight="1">
      <c r="A19" s="749"/>
      <c r="B19" s="760" t="s">
        <v>2953</v>
      </c>
      <c r="C19" s="735" t="s">
        <v>2941</v>
      </c>
      <c r="D19" s="740">
        <v>41001</v>
      </c>
      <c r="E19" s="727" t="s">
        <v>862</v>
      </c>
      <c r="F19" s="727" t="s">
        <v>863</v>
      </c>
      <c r="G19" s="751" t="s">
        <v>2954</v>
      </c>
      <c r="H19" s="730">
        <v>1875717</v>
      </c>
      <c r="I19" s="725">
        <v>1875717</v>
      </c>
      <c r="J19" s="726">
        <v>0.999</v>
      </c>
      <c r="K19" s="738"/>
      <c r="L19" s="738" t="s">
        <v>2914</v>
      </c>
      <c r="M19" s="727" t="s">
        <v>2915</v>
      </c>
      <c r="N19" s="723"/>
    </row>
    <row r="20" spans="1:14" ht="90" customHeight="1">
      <c r="A20" s="749"/>
      <c r="B20" s="760" t="s">
        <v>2955</v>
      </c>
      <c r="C20" s="735" t="s">
        <v>2941</v>
      </c>
      <c r="D20" s="740">
        <v>41000</v>
      </c>
      <c r="E20" s="727" t="s">
        <v>358</v>
      </c>
      <c r="F20" s="752" t="s">
        <v>359</v>
      </c>
      <c r="G20" s="753" t="s">
        <v>2956</v>
      </c>
      <c r="H20" s="729" t="s">
        <v>129</v>
      </c>
      <c r="I20" s="731" t="s">
        <v>2929</v>
      </c>
      <c r="J20" s="729" t="s">
        <v>129</v>
      </c>
      <c r="K20" s="738"/>
      <c r="L20" s="738" t="s">
        <v>2910</v>
      </c>
      <c r="M20" s="727" t="s">
        <v>2911</v>
      </c>
      <c r="N20" s="723"/>
    </row>
    <row r="21" spans="1:14" ht="90" customHeight="1">
      <c r="A21" s="749"/>
      <c r="B21" s="760" t="s">
        <v>2957</v>
      </c>
      <c r="C21" s="735" t="s">
        <v>2941</v>
      </c>
      <c r="D21" s="740">
        <v>41001</v>
      </c>
      <c r="E21" s="727" t="s">
        <v>983</v>
      </c>
      <c r="F21" s="727" t="s">
        <v>984</v>
      </c>
      <c r="G21" s="751" t="s">
        <v>2988</v>
      </c>
      <c r="H21" s="729" t="s">
        <v>129</v>
      </c>
      <c r="I21" s="731" t="s">
        <v>2929</v>
      </c>
      <c r="J21" s="729" t="s">
        <v>129</v>
      </c>
      <c r="K21" s="738"/>
      <c r="L21" s="738" t="s">
        <v>2916</v>
      </c>
      <c r="M21" s="727" t="s">
        <v>2917</v>
      </c>
      <c r="N21" s="723"/>
    </row>
    <row r="22" spans="1:14" ht="90" customHeight="1">
      <c r="A22" s="749"/>
      <c r="B22" s="760" t="s">
        <v>2966</v>
      </c>
      <c r="C22" s="735" t="s">
        <v>2941</v>
      </c>
      <c r="D22" s="740">
        <v>41001</v>
      </c>
      <c r="E22" s="733" t="s">
        <v>2979</v>
      </c>
      <c r="F22" s="734" t="s">
        <v>2980</v>
      </c>
      <c r="G22" s="751" t="s">
        <v>2989</v>
      </c>
      <c r="H22" s="725">
        <v>6030600</v>
      </c>
      <c r="I22" s="754">
        <v>6030600</v>
      </c>
      <c r="J22" s="732">
        <f t="shared" ref="J22" si="0">ROUNDDOWN(I22/H22,3)</f>
        <v>1</v>
      </c>
      <c r="K22" s="755"/>
      <c r="L22" s="738" t="s">
        <v>2914</v>
      </c>
      <c r="M22" s="727" t="s">
        <v>2981</v>
      </c>
      <c r="N22" s="723"/>
    </row>
    <row r="23" spans="1:14" ht="127.5" customHeight="1">
      <c r="A23" s="749"/>
      <c r="B23" s="746" t="s">
        <v>2975</v>
      </c>
      <c r="C23" s="735" t="s">
        <v>2941</v>
      </c>
      <c r="D23" s="742" t="s">
        <v>2927</v>
      </c>
      <c r="E23" s="727" t="s">
        <v>2944</v>
      </c>
      <c r="F23" s="727" t="s">
        <v>2945</v>
      </c>
      <c r="G23" s="727" t="s">
        <v>1076</v>
      </c>
      <c r="H23" s="728">
        <v>6600190</v>
      </c>
      <c r="I23" s="728">
        <v>5615190</v>
      </c>
      <c r="J23" s="726">
        <v>0.85</v>
      </c>
      <c r="K23" s="738"/>
      <c r="L23" s="727" t="s">
        <v>2918</v>
      </c>
      <c r="M23" s="727" t="s">
        <v>2913</v>
      </c>
      <c r="N23" s="750"/>
    </row>
    <row r="24" spans="1:14" ht="99" customHeight="1">
      <c r="A24" s="749"/>
      <c r="B24" s="748" t="s">
        <v>2991</v>
      </c>
      <c r="C24" s="735" t="s">
        <v>2941</v>
      </c>
      <c r="D24" s="756">
        <v>41064</v>
      </c>
      <c r="E24" s="727" t="s">
        <v>1171</v>
      </c>
      <c r="F24" s="727" t="s">
        <v>1172</v>
      </c>
      <c r="G24" s="757" t="s">
        <v>2936</v>
      </c>
      <c r="H24" s="725">
        <v>5380721</v>
      </c>
      <c r="I24" s="725">
        <v>5380721</v>
      </c>
      <c r="J24" s="726">
        <v>1</v>
      </c>
      <c r="K24" s="738"/>
      <c r="L24" s="738" t="s">
        <v>2910</v>
      </c>
      <c r="M24" s="727" t="s">
        <v>2911</v>
      </c>
      <c r="N24" s="723"/>
    </row>
    <row r="25" spans="1:14" ht="97.5" customHeight="1">
      <c r="A25" s="749"/>
      <c r="B25" s="760" t="s">
        <v>2946</v>
      </c>
      <c r="C25" s="735" t="s">
        <v>2941</v>
      </c>
      <c r="D25" s="756">
        <v>41064</v>
      </c>
      <c r="E25" s="727" t="s">
        <v>1421</v>
      </c>
      <c r="F25" s="727" t="s">
        <v>1422</v>
      </c>
      <c r="G25" s="757" t="s">
        <v>2937</v>
      </c>
      <c r="H25" s="725">
        <v>2504779</v>
      </c>
      <c r="I25" s="725">
        <v>2504779</v>
      </c>
      <c r="J25" s="726">
        <v>1</v>
      </c>
      <c r="K25" s="738"/>
      <c r="L25" s="738" t="s">
        <v>2910</v>
      </c>
      <c r="M25" s="727" t="s">
        <v>2911</v>
      </c>
      <c r="N25" s="723"/>
    </row>
    <row r="26" spans="1:14" ht="138.75" customHeight="1">
      <c r="A26" s="749"/>
      <c r="B26" s="760" t="s">
        <v>2946</v>
      </c>
      <c r="C26" s="735" t="s">
        <v>2941</v>
      </c>
      <c r="D26" s="756">
        <v>41065</v>
      </c>
      <c r="E26" s="727" t="s">
        <v>1426</v>
      </c>
      <c r="F26" s="727" t="s">
        <v>2982</v>
      </c>
      <c r="G26" s="757" t="s">
        <v>2938</v>
      </c>
      <c r="H26" s="725">
        <v>1272313</v>
      </c>
      <c r="I26" s="725">
        <v>1272313</v>
      </c>
      <c r="J26" s="726">
        <v>1</v>
      </c>
      <c r="K26" s="738"/>
      <c r="L26" s="738" t="s">
        <v>2910</v>
      </c>
      <c r="M26" s="727" t="s">
        <v>2911</v>
      </c>
      <c r="N26" s="723"/>
    </row>
    <row r="27" spans="1:14" ht="135.75" customHeight="1">
      <c r="A27" s="749"/>
      <c r="B27" s="760" t="s">
        <v>2946</v>
      </c>
      <c r="C27" s="735" t="s">
        <v>2941</v>
      </c>
      <c r="D27" s="756">
        <v>41065</v>
      </c>
      <c r="E27" s="727" t="s">
        <v>1431</v>
      </c>
      <c r="F27" s="727" t="s">
        <v>1432</v>
      </c>
      <c r="G27" s="757" t="s">
        <v>2938</v>
      </c>
      <c r="H27" s="725">
        <v>6673670</v>
      </c>
      <c r="I27" s="725">
        <v>6673670</v>
      </c>
      <c r="J27" s="726">
        <v>1</v>
      </c>
      <c r="K27" s="738"/>
      <c r="L27" s="738" t="s">
        <v>2910</v>
      </c>
      <c r="M27" s="727" t="s">
        <v>2911</v>
      </c>
      <c r="N27" s="723"/>
    </row>
    <row r="28" spans="1:14" ht="127.5" customHeight="1">
      <c r="A28" s="749"/>
      <c r="B28" s="746" t="s">
        <v>2976</v>
      </c>
      <c r="C28" s="735" t="s">
        <v>2941</v>
      </c>
      <c r="D28" s="742" t="s">
        <v>2927</v>
      </c>
      <c r="E28" s="727" t="s">
        <v>2977</v>
      </c>
      <c r="F28" s="727" t="s">
        <v>2978</v>
      </c>
      <c r="G28" s="727" t="s">
        <v>1438</v>
      </c>
      <c r="H28" s="728">
        <v>41293528</v>
      </c>
      <c r="I28" s="728">
        <v>41293528</v>
      </c>
      <c r="J28" s="726">
        <v>1</v>
      </c>
      <c r="K28" s="738"/>
      <c r="L28" s="727" t="s">
        <v>2918</v>
      </c>
      <c r="M28" s="727" t="s">
        <v>2913</v>
      </c>
      <c r="N28" s="723"/>
    </row>
    <row r="29" spans="1:14" ht="90" customHeight="1">
      <c r="A29" s="749"/>
      <c r="B29" s="760" t="s">
        <v>2971</v>
      </c>
      <c r="C29" s="735" t="s">
        <v>2941</v>
      </c>
      <c r="D29" s="756">
        <v>41075</v>
      </c>
      <c r="E29" s="733" t="s">
        <v>2972</v>
      </c>
      <c r="F29" s="734" t="s">
        <v>2973</v>
      </c>
      <c r="G29" s="751" t="s">
        <v>2974</v>
      </c>
      <c r="H29" s="725">
        <v>3476353</v>
      </c>
      <c r="I29" s="725">
        <v>3476353</v>
      </c>
      <c r="J29" s="726">
        <v>1</v>
      </c>
      <c r="K29" s="738">
        <v>2</v>
      </c>
      <c r="L29" s="738" t="s">
        <v>2919</v>
      </c>
      <c r="M29" s="727" t="s">
        <v>2920</v>
      </c>
      <c r="N29" s="723"/>
    </row>
    <row r="30" spans="1:14" ht="97.5" customHeight="1">
      <c r="A30" s="749"/>
      <c r="B30" s="760" t="s">
        <v>2946</v>
      </c>
      <c r="C30" s="735" t="s">
        <v>2941</v>
      </c>
      <c r="D30" s="756">
        <v>41089</v>
      </c>
      <c r="E30" s="727" t="s">
        <v>1477</v>
      </c>
      <c r="F30" s="727" t="s">
        <v>1172</v>
      </c>
      <c r="G30" s="757" t="s">
        <v>2939</v>
      </c>
      <c r="H30" s="725">
        <v>3408646</v>
      </c>
      <c r="I30" s="725">
        <v>3408646</v>
      </c>
      <c r="J30" s="726">
        <v>1</v>
      </c>
      <c r="K30" s="738"/>
      <c r="L30" s="738" t="s">
        <v>2910</v>
      </c>
      <c r="M30" s="727" t="s">
        <v>2911</v>
      </c>
      <c r="N30" s="723"/>
    </row>
    <row r="31" spans="1:14" ht="138.75" customHeight="1">
      <c r="A31" s="749"/>
      <c r="B31" s="760" t="s">
        <v>2946</v>
      </c>
      <c r="C31" s="735" t="s">
        <v>2941</v>
      </c>
      <c r="D31" s="756">
        <v>41089</v>
      </c>
      <c r="E31" s="727" t="s">
        <v>1431</v>
      </c>
      <c r="F31" s="727" t="s">
        <v>1432</v>
      </c>
      <c r="G31" s="751" t="s">
        <v>2940</v>
      </c>
      <c r="H31" s="725">
        <v>6232393</v>
      </c>
      <c r="I31" s="725">
        <v>6232393</v>
      </c>
      <c r="J31" s="726">
        <v>1</v>
      </c>
      <c r="K31" s="738"/>
      <c r="L31" s="738" t="s">
        <v>2910</v>
      </c>
      <c r="M31" s="727" t="s">
        <v>2911</v>
      </c>
      <c r="N31" s="723"/>
    </row>
    <row r="32" spans="1:14" ht="99" customHeight="1">
      <c r="A32" s="749"/>
      <c r="B32" s="760" t="s">
        <v>2946</v>
      </c>
      <c r="C32" s="735" t="s">
        <v>2941</v>
      </c>
      <c r="D32" s="756">
        <v>41089</v>
      </c>
      <c r="E32" s="727" t="s">
        <v>1600</v>
      </c>
      <c r="F32" s="727" t="s">
        <v>1422</v>
      </c>
      <c r="G32" s="751" t="s">
        <v>2939</v>
      </c>
      <c r="H32" s="725">
        <v>2023866</v>
      </c>
      <c r="I32" s="725">
        <v>2023866</v>
      </c>
      <c r="J32" s="726">
        <v>1</v>
      </c>
      <c r="K32" s="738"/>
      <c r="L32" s="738" t="s">
        <v>2910</v>
      </c>
      <c r="M32" s="727" t="s">
        <v>2911</v>
      </c>
      <c r="N32" s="723"/>
    </row>
    <row r="33" spans="1:14" ht="136.5" customHeight="1">
      <c r="A33" s="749"/>
      <c r="B33" s="760" t="s">
        <v>2946</v>
      </c>
      <c r="C33" s="735" t="s">
        <v>2941</v>
      </c>
      <c r="D33" s="756">
        <v>41089</v>
      </c>
      <c r="E33" s="727" t="s">
        <v>1426</v>
      </c>
      <c r="F33" s="727" t="s">
        <v>2982</v>
      </c>
      <c r="G33" s="751" t="s">
        <v>2940</v>
      </c>
      <c r="H33" s="725">
        <v>1461548</v>
      </c>
      <c r="I33" s="725">
        <v>1461548</v>
      </c>
      <c r="J33" s="726">
        <v>1</v>
      </c>
      <c r="K33" s="738"/>
      <c r="L33" s="738" t="s">
        <v>2910</v>
      </c>
      <c r="M33" s="727" t="s">
        <v>2911</v>
      </c>
      <c r="N33" s="723"/>
    </row>
    <row r="34" spans="1:14" ht="99" customHeight="1">
      <c r="A34" s="749"/>
      <c r="B34" s="760" t="s">
        <v>2946</v>
      </c>
      <c r="C34" s="735" t="s">
        <v>2941</v>
      </c>
      <c r="D34" s="756">
        <v>41117</v>
      </c>
      <c r="E34" s="727" t="s">
        <v>1477</v>
      </c>
      <c r="F34" s="727" t="s">
        <v>1172</v>
      </c>
      <c r="G34" s="758" t="s">
        <v>1722</v>
      </c>
      <c r="H34" s="725">
        <v>1729863</v>
      </c>
      <c r="I34" s="725">
        <v>1729863</v>
      </c>
      <c r="J34" s="726">
        <v>1</v>
      </c>
      <c r="K34" s="738"/>
      <c r="L34" s="738" t="s">
        <v>2910</v>
      </c>
      <c r="M34" s="727" t="s">
        <v>2911</v>
      </c>
      <c r="N34" s="723"/>
    </row>
    <row r="35" spans="1:14" ht="96" customHeight="1">
      <c r="A35" s="749"/>
      <c r="B35" s="760" t="s">
        <v>2946</v>
      </c>
      <c r="C35" s="735" t="s">
        <v>2941</v>
      </c>
      <c r="D35" s="756">
        <v>41117</v>
      </c>
      <c r="E35" s="727" t="s">
        <v>1600</v>
      </c>
      <c r="F35" s="727" t="s">
        <v>1422</v>
      </c>
      <c r="G35" s="758" t="s">
        <v>2983</v>
      </c>
      <c r="H35" s="725">
        <v>2177553</v>
      </c>
      <c r="I35" s="725">
        <v>2177553</v>
      </c>
      <c r="J35" s="737">
        <v>1</v>
      </c>
      <c r="K35" s="738"/>
      <c r="L35" s="738" t="s">
        <v>2910</v>
      </c>
      <c r="M35" s="727" t="s">
        <v>2911</v>
      </c>
      <c r="N35" s="723"/>
    </row>
    <row r="36" spans="1:14" ht="142.5" customHeight="1">
      <c r="A36" s="749"/>
      <c r="B36" s="760" t="s">
        <v>2946</v>
      </c>
      <c r="C36" s="735" t="s">
        <v>2941</v>
      </c>
      <c r="D36" s="756">
        <v>41120</v>
      </c>
      <c r="E36" s="727" t="s">
        <v>1431</v>
      </c>
      <c r="F36" s="727" t="s">
        <v>1432</v>
      </c>
      <c r="G36" s="758" t="s">
        <v>1871</v>
      </c>
      <c r="H36" s="725">
        <v>1086411</v>
      </c>
      <c r="I36" s="725">
        <v>1086411</v>
      </c>
      <c r="J36" s="726">
        <v>1</v>
      </c>
      <c r="K36" s="738"/>
      <c r="L36" s="738" t="s">
        <v>2910</v>
      </c>
      <c r="M36" s="727" t="s">
        <v>2911</v>
      </c>
      <c r="N36" s="723"/>
    </row>
    <row r="37" spans="1:14" ht="137.25" customHeight="1">
      <c r="A37" s="749"/>
      <c r="B37" s="760" t="s">
        <v>2946</v>
      </c>
      <c r="C37" s="735" t="s">
        <v>2941</v>
      </c>
      <c r="D37" s="756">
        <v>41120</v>
      </c>
      <c r="E37" s="727" t="s">
        <v>1426</v>
      </c>
      <c r="F37" s="727" t="s">
        <v>2984</v>
      </c>
      <c r="G37" s="758" t="s">
        <v>1871</v>
      </c>
      <c r="H37" s="725">
        <v>1314511</v>
      </c>
      <c r="I37" s="725">
        <v>1314511</v>
      </c>
      <c r="J37" s="726">
        <v>1</v>
      </c>
      <c r="K37" s="738"/>
      <c r="L37" s="738" t="s">
        <v>2910</v>
      </c>
      <c r="M37" s="727" t="s">
        <v>2911</v>
      </c>
      <c r="N37" s="723"/>
    </row>
    <row r="38" spans="1:14" ht="97.5" customHeight="1">
      <c r="A38" s="749"/>
      <c r="B38" s="760" t="s">
        <v>2990</v>
      </c>
      <c r="C38" s="735" t="s">
        <v>2941</v>
      </c>
      <c r="D38" s="756">
        <v>41145</v>
      </c>
      <c r="E38" s="727" t="s">
        <v>1477</v>
      </c>
      <c r="F38" s="727" t="s">
        <v>1172</v>
      </c>
      <c r="G38" s="751" t="s">
        <v>1722</v>
      </c>
      <c r="H38" s="725">
        <v>6436292</v>
      </c>
      <c r="I38" s="725">
        <v>6436292</v>
      </c>
      <c r="J38" s="732">
        <v>1</v>
      </c>
      <c r="K38" s="738"/>
      <c r="L38" s="738" t="s">
        <v>2910</v>
      </c>
      <c r="M38" s="727" t="s">
        <v>2911</v>
      </c>
      <c r="N38" s="723"/>
    </row>
    <row r="39" spans="1:14" ht="140.25" customHeight="1">
      <c r="A39" s="749"/>
      <c r="B39" s="760" t="s">
        <v>2990</v>
      </c>
      <c r="C39" s="735" t="s">
        <v>2941</v>
      </c>
      <c r="D39" s="756">
        <v>41145</v>
      </c>
      <c r="E39" s="727" t="s">
        <v>1431</v>
      </c>
      <c r="F39" s="727" t="s">
        <v>1432</v>
      </c>
      <c r="G39" s="751" t="s">
        <v>1871</v>
      </c>
      <c r="H39" s="725">
        <v>7232900</v>
      </c>
      <c r="I39" s="725">
        <v>7232900</v>
      </c>
      <c r="J39" s="732">
        <v>1</v>
      </c>
      <c r="K39" s="738"/>
      <c r="L39" s="738" t="s">
        <v>2910</v>
      </c>
      <c r="M39" s="727" t="s">
        <v>2911</v>
      </c>
      <c r="N39" s="723"/>
    </row>
    <row r="40" spans="1:14" ht="97.5" customHeight="1">
      <c r="A40" s="749"/>
      <c r="B40" s="760" t="s">
        <v>2967</v>
      </c>
      <c r="C40" s="735" t="s">
        <v>2941</v>
      </c>
      <c r="D40" s="756">
        <v>41298</v>
      </c>
      <c r="E40" s="733" t="s">
        <v>1293</v>
      </c>
      <c r="F40" s="734" t="s">
        <v>2968</v>
      </c>
      <c r="G40" s="751" t="s">
        <v>2969</v>
      </c>
      <c r="H40" s="725">
        <v>2597516</v>
      </c>
      <c r="I40" s="725">
        <v>2597516</v>
      </c>
      <c r="J40" s="739">
        <v>1</v>
      </c>
      <c r="K40" s="738"/>
      <c r="L40" s="727" t="s">
        <v>2912</v>
      </c>
      <c r="M40" s="727" t="s">
        <v>2913</v>
      </c>
      <c r="N40" s="723"/>
    </row>
    <row r="41" spans="1:14" ht="90" customHeight="1" thickBot="1">
      <c r="A41" s="749"/>
      <c r="B41" s="761" t="s">
        <v>2970</v>
      </c>
      <c r="C41" s="762" t="s">
        <v>2941</v>
      </c>
      <c r="D41" s="763">
        <v>41281</v>
      </c>
      <c r="E41" s="744" t="s">
        <v>2942</v>
      </c>
      <c r="F41" s="741" t="s">
        <v>1400</v>
      </c>
      <c r="G41" s="741" t="s">
        <v>2943</v>
      </c>
      <c r="H41" s="764">
        <v>11101200</v>
      </c>
      <c r="I41" s="765">
        <v>11101200</v>
      </c>
      <c r="J41" s="745">
        <v>1</v>
      </c>
      <c r="K41" s="759"/>
      <c r="L41" s="741" t="s">
        <v>2912</v>
      </c>
      <c r="M41" s="741" t="s">
        <v>2913</v>
      </c>
      <c r="N41" s="724"/>
    </row>
    <row r="42" spans="1:14" ht="34.5" customHeight="1">
      <c r="F42" s="55"/>
      <c r="G42" s="55"/>
      <c r="L42" s="743"/>
    </row>
    <row r="43" spans="1:14">
      <c r="F43" s="55"/>
      <c r="G43" s="55"/>
    </row>
    <row r="44" spans="1:14">
      <c r="G44" s="55"/>
    </row>
    <row r="45" spans="1:14">
      <c r="G45" s="55"/>
    </row>
    <row r="46" spans="1:14">
      <c r="G46" s="55"/>
    </row>
    <row r="47" spans="1:14">
      <c r="G47" s="55"/>
    </row>
  </sheetData>
  <mergeCells count="4">
    <mergeCell ref="B4:B5"/>
    <mergeCell ref="M4:N5"/>
    <mergeCell ref="B1:N1"/>
    <mergeCell ref="B2:N3"/>
  </mergeCells>
  <phoneticPr fontId="4"/>
  <printOptions horizontalCentered="1" verticalCentered="1"/>
  <pageMargins left="0.70866141732283472" right="0.70866141732283472" top="0.74803149606299213" bottom="0.74803149606299213" header="0.31496062992125984" footer="0.31496062992125984"/>
  <pageSetup paperSize="9" scale="50" orientation="landscape" horizontalDpi="4294967294" verticalDpi="0" r:id="rId1"/>
  <headerFooter>
    <oddFooter>&amp;C&amp;P/&amp;N</oddFooter>
  </headerFooter>
  <rowBreaks count="3" manualBreakCount="3">
    <brk id="13" min="1" max="13" man="1"/>
    <brk id="23" min="1" max="13" man="1"/>
    <brk id="31" min="1" max="13" man="1"/>
  </row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別添３（随契（物品役務・公共工事）） FU</vt:lpstr>
      <vt:lpstr>清書公表版（別添３）今回確認作業台（24年度締結分</vt:lpstr>
      <vt:lpstr>Sheet1</vt:lpstr>
      <vt:lpstr>'清書公表版（別添３）今回確認作業台（24年度締結分'!Print_Area</vt:lpstr>
      <vt:lpstr>'別添３（随契（物品役務・公共工事）） FU'!Print_Area</vt:lpstr>
      <vt:lpstr>'清書公表版（別添３）今回確認作業台（24年度締結分'!Print_Titles</vt:lpstr>
      <vt:lpstr>'別添３（随契（物品役務・公共工事）） FU'!Print_Titles</vt:lpstr>
      <vt:lpstr>'別添３（随契（物品役務・公共工事）） FU'!政府調達</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cp:lastPrinted>2013-07-16T03:08:40Z</cp:lastPrinted>
  <dcterms:created xsi:type="dcterms:W3CDTF">2011-06-15T05:25:43Z</dcterms:created>
  <dcterms:modified xsi:type="dcterms:W3CDTF">2013-07-23T05:34:52Z</dcterms:modified>
</cp:coreProperties>
</file>